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  <sheet name="2 вариант" sheetId="2" state="hidden" r:id="rId2"/>
    <sheet name="Лист1" sheetId="3" r:id="rId3"/>
  </sheets>
  <externalReferences>
    <externalReference r:id="rId6"/>
  </externalReference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<sst xmlns="http://schemas.openxmlformats.org/spreadsheetml/2006/main" count="184" uniqueCount="45">
  <si>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</si>
  <si>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</si>
  <si>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</si>
  <si>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</si>
  <si>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</si>
  <si>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</si>
  <si>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Степень сокращения отставания  П=0,65</t>
  </si>
  <si>
    <t>х</t>
  </si>
  <si>
    <t>Индекс налогового потенциала  (гр.4/гр.4общ)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</si>
  <si>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</si>
  <si>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</si>
  <si>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</si>
  <si>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</si>
  <si>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</si>
  <si>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</si>
  <si>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</si>
  <si>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Второй критерий выравнивания (У2=1)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</si>
  <si>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</si>
  <si>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</si>
  <si>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</si>
  <si>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</si>
  <si>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</si>
  <si>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</si>
  <si>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</si>
  <si>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2вариант</t>
  </si>
  <si>
    <t>Прогноз налоговых и неналоговых доходов поселений в очередном финансовом году (тыс.руб.)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</si>
  <si>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</si>
  <si>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</si>
  <si>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</si>
  <si>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</si>
  <si>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</si>
  <si>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</si>
  <si>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</si>
  <si>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</si>
  <si>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Прогноз налоговых и неналоговых доходов по поселениям</t>
  </si>
  <si>
    <t>Старый расчет</t>
  </si>
  <si>
    <t>Отклонение</t>
  </si>
  <si>
    <t xml:space="preserve">До расчета </t>
  </si>
  <si>
    <t>После расчета</t>
  </si>
  <si>
    <t>Индес расходного потенциала поселения</t>
  </si>
  <si>
    <t xml:space="preserve">Расчёт дотации на выравнивание бюджетной обеспеченности на 2018 год  </t>
  </si>
  <si>
    <t>Численность населения на 01.01.17     (тыс.чел.)</t>
  </si>
  <si>
    <t>Налоговый потенциал на 2018 год по поселениям (тыс.руб.)</t>
  </si>
  <si>
    <t>Численность населения на 01.01.17 (тыс.чел.)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</si>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</sst>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0.0000"/>
    <numFmt numFmtId="169" formatCode="0.00000"/>
    <numFmt numFmtId="170" formatCode="#,##0.00000"/>
    <numFmt numFmtId="171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vertical="justify" wrapText="1"/>
    </xf>
    <xf numFmtId="165" fontId="5" fillId="0" borderId="0" xfId="0" applyNumberFormat="1" applyFont="1" applyBorder="1" applyAlignment="1">
      <alignment vertical="justify" wrapText="1"/>
    </xf>
    <xf numFmtId="165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vertical="justify" wrapText="1"/>
    </xf>
    <xf numFmtId="165" fontId="5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right" wrapText="1"/>
    </xf>
    <xf numFmtId="166" fontId="6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justify" wrapText="1"/>
    </xf>
    <xf numFmtId="168" fontId="6" fillId="0" borderId="10" xfId="0" applyNumberFormat="1" applyFont="1" applyFill="1" applyBorder="1" applyAlignment="1">
      <alignment horizontal="right" wrapText="1"/>
    </xf>
    <xf numFmtId="164" fontId="5" fillId="0" borderId="0" xfId="0" applyNumberFormat="1" applyFont="1" applyAlignment="1">
      <alignment vertical="justify" wrapText="1"/>
    </xf>
    <xf numFmtId="166" fontId="6" fillId="34" borderId="10" xfId="0" applyNumberFormat="1" applyFont="1" applyFill="1" applyBorder="1" applyAlignment="1">
      <alignment horizontal="right" wrapText="1"/>
    </xf>
    <xf numFmtId="166" fontId="6" fillId="35" borderId="10" xfId="0" applyNumberFormat="1" applyFont="1" applyFill="1" applyBorder="1" applyAlignment="1">
      <alignment horizontal="right" wrapText="1"/>
    </xf>
    <xf numFmtId="166" fontId="5" fillId="9" borderId="10" xfId="0" applyNumberFormat="1" applyFont="1" applyFill="1" applyBorder="1" applyAlignment="1">
      <alignment horizontal="right" wrapText="1"/>
    </xf>
    <xf numFmtId="165" fontId="6" fillId="9" borderId="10" xfId="0" applyNumberFormat="1" applyFont="1" applyFill="1" applyBorder="1" applyAlignment="1">
      <alignment horizontal="right" wrapText="1"/>
    </xf>
    <xf numFmtId="164" fontId="6" fillId="9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vertical="justify" wrapText="1"/>
    </xf>
    <xf numFmtId="0" fontId="6" fillId="0" borderId="10" xfId="0" applyFont="1" applyBorder="1" applyAlignment="1">
      <alignment horizontal="right" vertical="justify" wrapText="1"/>
    </xf>
    <xf numFmtId="0" fontId="5" fillId="0" borderId="10" xfId="0" applyFont="1" applyBorder="1" applyAlignment="1">
      <alignment horizontal="right" wrapText="1"/>
    </xf>
    <xf numFmtId="169" fontId="5" fillId="0" borderId="10" xfId="0" applyNumberFormat="1" applyFont="1" applyBorder="1" applyAlignment="1">
      <alignment horizontal="right" wrapText="1"/>
    </xf>
    <xf numFmtId="170" fontId="5" fillId="0" borderId="10" xfId="0" applyNumberFormat="1" applyFont="1" applyBorder="1" applyAlignment="1">
      <alignment horizontal="right" wrapText="1"/>
    </xf>
    <xf numFmtId="170" fontId="6" fillId="33" borderId="10" xfId="0" applyNumberFormat="1" applyFont="1" applyFill="1" applyBorder="1" applyAlignment="1">
      <alignment horizontal="right" wrapText="1"/>
    </xf>
    <xf numFmtId="169" fontId="10" fillId="0" borderId="10" xfId="0" applyNumberFormat="1" applyFont="1" applyBorder="1" applyAlignment="1">
      <alignment horizontal="right" wrapText="1"/>
    </xf>
    <xf numFmtId="170" fontId="6" fillId="0" borderId="10" xfId="0" applyNumberFormat="1" applyFont="1" applyBorder="1" applyAlignment="1">
      <alignment horizontal="right" wrapText="1"/>
    </xf>
    <xf numFmtId="170" fontId="10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169" fontId="5" fillId="33" borderId="10" xfId="0" applyNumberFormat="1" applyFont="1" applyFill="1" applyBorder="1" applyAlignment="1">
      <alignment horizontal="right" wrapText="1"/>
    </xf>
    <xf numFmtId="164" fontId="5" fillId="36" borderId="10" xfId="0" applyNumberFormat="1" applyFont="1" applyFill="1" applyBorder="1" applyAlignment="1">
      <alignment horizontal="right" wrapText="1"/>
    </xf>
    <xf numFmtId="165" fontId="5" fillId="36" borderId="10" xfId="0" applyNumberFormat="1" applyFont="1" applyFill="1" applyBorder="1" applyAlignment="1">
      <alignment horizontal="right" wrapText="1"/>
    </xf>
    <xf numFmtId="165" fontId="6" fillId="36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justify" wrapText="1"/>
    </xf>
    <xf numFmtId="165" fontId="8" fillId="0" borderId="11" xfId="0" applyNumberFormat="1" applyFont="1" applyFill="1" applyBorder="1" applyAlignment="1">
      <alignment vertical="justify" wrapText="1"/>
    </xf>
    <xf numFmtId="164" fontId="6" fillId="0" borderId="0" xfId="0" applyNumberFormat="1" applyFont="1" applyFill="1" applyAlignment="1">
      <alignment vertical="justify" wrapText="1"/>
    </xf>
    <xf numFmtId="165" fontId="6" fillId="0" borderId="11" xfId="0" applyNumberFormat="1" applyFont="1" applyFill="1" applyBorder="1" applyAlignment="1">
      <alignment vertical="justify" wrapText="1"/>
    </xf>
    <xf numFmtId="2" fontId="6" fillId="36" borderId="10" xfId="0" applyNumberFormat="1" applyFont="1" applyFill="1" applyBorder="1" applyAlignment="1">
      <alignment horizontal="right" wrapText="1"/>
    </xf>
    <xf numFmtId="166" fontId="5" fillId="0" borderId="0" xfId="0" applyNumberFormat="1" applyFont="1" applyAlignment="1">
      <alignment vertical="justify" wrapText="1"/>
    </xf>
    <xf numFmtId="164" fontId="6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 wrapText="1"/>
    </xf>
    <xf numFmtId="166" fontId="5" fillId="33" borderId="10" xfId="0" applyNumberFormat="1" applyFont="1" applyFill="1" applyBorder="1" applyAlignment="1">
      <alignment horizontal="right" wrapText="1"/>
    </xf>
    <xf numFmtId="1" fontId="6" fillId="33" borderId="0" xfId="0" applyNumberFormat="1" applyFont="1" applyFill="1" applyAlignment="1">
      <alignment horizontal="right" wrapText="1"/>
    </xf>
    <xf numFmtId="2" fontId="5" fillId="0" borderId="0" xfId="0" applyNumberFormat="1" applyFont="1" applyFill="1" applyAlignment="1">
      <alignment vertical="justify" wrapText="1"/>
    </xf>
    <xf numFmtId="0" fontId="5" fillId="9" borderId="10" xfId="0" applyFont="1" applyFill="1" applyBorder="1" applyAlignment="1">
      <alignment horizontal="right" vertical="justify" wrapText="1"/>
    </xf>
    <xf numFmtId="164" fontId="6" fillId="0" borderId="10" xfId="0" applyNumberFormat="1" applyFont="1" applyBorder="1" applyAlignment="1">
      <alignment horizontal="right" wrapText="1"/>
    </xf>
    <xf numFmtId="0" fontId="5" fillId="33" borderId="0" xfId="0" applyFont="1" applyFill="1" applyAlignment="1">
      <alignment horizontal="right" vertical="justify" wrapText="1"/>
    </xf>
    <xf numFmtId="164" fontId="6" fillId="33" borderId="0" xfId="0" applyNumberFormat="1" applyFont="1" applyFill="1" applyAlignment="1">
      <alignment horizontal="right" wrapText="1"/>
    </xf>
    <xf numFmtId="0" fontId="9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171" fontId="5" fillId="36" borderId="10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justify" wrapText="1"/>
    </xf>
    <xf numFmtId="164" fontId="5" fillId="15" borderId="10" xfId="0" applyNumberFormat="1" applyFont="1" applyFill="1" applyBorder="1" applyAlignment="1">
      <alignment horizontal="right" wrapText="1"/>
    </xf>
    <xf numFmtId="166" fontId="5" fillId="15" borderId="10" xfId="0" applyNumberFormat="1" applyFont="1" applyFill="1" applyBorder="1" applyAlignment="1">
      <alignment horizontal="right" wrapText="1"/>
    </xf>
    <xf numFmtId="0" fontId="5" fillId="15" borderId="10" xfId="0" applyFont="1" applyFill="1" applyBorder="1" applyAlignment="1">
      <alignment horizontal="right" vertical="justify" wrapText="1"/>
    </xf>
    <xf numFmtId="164" fontId="6" fillId="15" borderId="10" xfId="0" applyNumberFormat="1" applyFont="1" applyFill="1" applyBorder="1" applyAlignment="1">
      <alignment horizontal="right" vertical="justify" wrapText="1"/>
    </xf>
    <xf numFmtId="166" fontId="6" fillId="15" borderId="10" xfId="0" applyNumberFormat="1" applyFont="1" applyFill="1" applyBorder="1" applyAlignment="1">
      <alignment horizontal="right" vertical="justify" wrapText="1"/>
    </xf>
    <xf numFmtId="1" fontId="5" fillId="0" borderId="0" xfId="0" applyNumberFormat="1" applyFont="1" applyFill="1" applyAlignment="1">
      <alignment vertical="justify" wrapText="1"/>
    </xf>
    <xf numFmtId="164" fontId="5" fillId="0" borderId="10" xfId="0" applyNumberFormat="1" applyFont="1" applyBorder="1" applyAlignment="1">
      <alignment horizontal="right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justify" wrapText="1"/>
    </xf>
    <xf numFmtId="0" fontId="46" fillId="38" borderId="10" xfId="0" applyFont="1" applyFill="1" applyBorder="1" applyAlignment="1">
      <alignment/>
    </xf>
    <xf numFmtId="0" fontId="47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right" wrapText="1"/>
    </xf>
    <xf numFmtId="0" fontId="6" fillId="38" borderId="10" xfId="0" applyFont="1" applyFill="1" applyBorder="1" applyAlignment="1">
      <alignment horizontal="right" wrapText="1"/>
    </xf>
    <xf numFmtId="166" fontId="5" fillId="38" borderId="10" xfId="0" applyNumberFormat="1" applyFont="1" applyFill="1" applyBorder="1" applyAlignment="1">
      <alignment horizontal="right" wrapText="1"/>
    </xf>
    <xf numFmtId="166" fontId="6" fillId="38" borderId="10" xfId="0" applyNumberFormat="1" applyFont="1" applyFill="1" applyBorder="1" applyAlignment="1">
      <alignment horizontal="right" wrapText="1"/>
    </xf>
    <xf numFmtId="164" fontId="5" fillId="38" borderId="10" xfId="0" applyNumberFormat="1" applyFont="1" applyFill="1" applyBorder="1" applyAlignment="1">
      <alignment horizontal="right" wrapText="1"/>
    </xf>
    <xf numFmtId="164" fontId="6" fillId="38" borderId="10" xfId="0" applyNumberFormat="1" applyFont="1" applyFill="1" applyBorder="1" applyAlignment="1">
      <alignment horizontal="right" wrapText="1"/>
    </xf>
    <xf numFmtId="166" fontId="5" fillId="35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90;&#1072;&#1073;&#1083;.%20&#1050;&#1086;&#1101;&#1092;&#1092;&#1080;&#1094;&#1080;&#1077;&#1085;&#1090;&#1099;%20&#1048;&#1041;&#1056;,%20&#1088;&#1072;&#1089;&#1095;&#1077;&#1090;%20&#1076;&#1086;&#1090;&#1072;&#1094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т удорожания"/>
      <sheetName val="ИБР"/>
      <sheetName val="Дотация из РФФПП"/>
      <sheetName val="Распредел.дотаци."/>
    </sheetNames>
    <sheetDataSet>
      <sheetData sheetId="1">
        <row r="6">
          <cell r="AI6">
            <v>1.0071145907194605</v>
          </cell>
        </row>
        <row r="7">
          <cell r="AI7">
            <v>1.1267148277794294</v>
          </cell>
        </row>
        <row r="8">
          <cell r="AI8">
            <v>1.2560195362390634</v>
          </cell>
        </row>
        <row r="9">
          <cell r="AI9">
            <v>1.2014701245718156</v>
          </cell>
        </row>
        <row r="10">
          <cell r="AI10">
            <v>1.0918679099322444</v>
          </cell>
        </row>
        <row r="11">
          <cell r="AI11">
            <v>1.7533090295285165</v>
          </cell>
        </row>
        <row r="12">
          <cell r="AI12">
            <v>1.1556441972793263</v>
          </cell>
        </row>
        <row r="13">
          <cell r="AI13">
            <v>1.2093287745046664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34"/>
  <sheetViews>
    <sheetView tabSelected="1" zoomScale="46" zoomScaleNormal="46" zoomScalePageLayoutView="0" workbookViewId="0" topLeftCell="A4">
      <selection activeCell="O4" sqref="O4"/>
    </sheetView>
  </sheetViews>
  <sheetFormatPr defaultColWidth="19.57421875" defaultRowHeight="15"/>
  <cols>
    <col min="1" max="1" width="65.140625" style="1" customWidth="1"/>
    <col min="2" max="2" width="33.57421875" style="26" customWidth="1"/>
    <col min="3" max="3" width="32.8515625" style="1" customWidth="1"/>
    <col min="4" max="4" width="24.421875" style="1" customWidth="1"/>
    <col min="5" max="5" width="34.140625" style="1" customWidth="1"/>
    <col min="6" max="6" width="26.7109375" style="26" customWidth="1"/>
    <col min="7" max="7" width="25.421875" style="26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6" hidden="1" customWidth="1"/>
    <col min="24" max="24" width="23.57421875" style="26" hidden="1" customWidth="1"/>
    <col min="25" max="25" width="19.57421875" style="26" hidden="1" customWidth="1"/>
    <col min="26" max="26" width="20.140625" style="1" hidden="1" customWidth="1"/>
    <col min="27" max="28" width="19.57421875" style="1" hidden="1" customWidth="1"/>
    <col min="29" max="29" width="23.57421875" style="1" hidden="1" customWidth="1"/>
    <col min="30" max="33" width="19.57421875" style="1" hidden="1" customWidth="1"/>
    <col min="34" max="34" width="19.57421875" style="1" customWidth="1"/>
    <col min="35" max="16384" width="19.57421875" style="1" customWidth="1"/>
  </cols>
  <sheetData>
    <row r="1" spans="1:23" ht="30" customHeight="1">
      <c r="A1" s="26"/>
      <c r="B1" s="115" t="s">
        <v>40</v>
      </c>
      <c r="C1" s="116"/>
      <c r="D1" s="116"/>
      <c r="E1" s="116"/>
      <c r="F1" s="116"/>
      <c r="G1" s="11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7"/>
      <c r="W1" s="27"/>
    </row>
    <row r="2" spans="1:25" s="2" customFormat="1" ht="30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W2" s="21"/>
      <c r="X2" s="21"/>
      <c r="Y2" s="21"/>
    </row>
    <row r="3" spans="1:28" s="5" customFormat="1" ht="409.5" customHeight="1">
      <c r="A3" s="4" t="s">
        <v>0</v>
      </c>
      <c r="B3" s="4" t="s">
        <v>43</v>
      </c>
      <c r="C3" s="4" t="s">
        <v>25</v>
      </c>
      <c r="D3" s="4" t="s">
        <v>1</v>
      </c>
      <c r="E3" s="4" t="s">
        <v>8</v>
      </c>
      <c r="F3" s="4" t="s">
        <v>2</v>
      </c>
      <c r="G3" s="4" t="s">
        <v>3</v>
      </c>
      <c r="H3" s="4" t="s">
        <v>9</v>
      </c>
      <c r="I3" s="4" t="s">
        <v>4</v>
      </c>
      <c r="J3" s="4" t="s">
        <v>6</v>
      </c>
      <c r="K3" s="4" t="s">
        <v>5</v>
      </c>
      <c r="L3" s="4" t="s">
        <v>10</v>
      </c>
      <c r="M3" s="4" t="s">
        <v>11</v>
      </c>
      <c r="N3" s="4" t="s">
        <v>12</v>
      </c>
      <c r="O3" s="4" t="s">
        <v>34</v>
      </c>
      <c r="P3" s="108" t="s">
        <v>13</v>
      </c>
      <c r="Q3" s="4" t="s">
        <v>14</v>
      </c>
      <c r="R3" s="4" t="s">
        <v>16</v>
      </c>
      <c r="S3" s="4" t="s">
        <v>15</v>
      </c>
      <c r="T3" s="4" t="s">
        <v>17</v>
      </c>
      <c r="U3" s="4" t="s">
        <v>18</v>
      </c>
      <c r="V3" s="3" t="s">
        <v>19</v>
      </c>
      <c r="W3" s="4" t="s">
        <v>20</v>
      </c>
      <c r="X3" s="4" t="s">
        <v>35</v>
      </c>
      <c r="Y3" s="4" t="s">
        <v>36</v>
      </c>
      <c r="Z3" s="3" t="s">
        <v>37</v>
      </c>
      <c r="AA3" s="3" t="s">
        <v>38</v>
      </c>
      <c r="AB3" s="3" t="s">
        <v>36</v>
      </c>
    </row>
    <row r="4" spans="1:28" s="7" customFormat="1" ht="30.7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  <c r="O4" s="118">
        <v>15</v>
      </c>
      <c r="P4" s="118">
        <v>16</v>
      </c>
      <c r="Q4" s="118">
        <v>17</v>
      </c>
      <c r="R4" s="118">
        <v>18</v>
      </c>
      <c r="S4" s="118">
        <v>19</v>
      </c>
      <c r="T4" s="118">
        <v>20</v>
      </c>
      <c r="U4" s="118">
        <v>21</v>
      </c>
      <c r="V4" s="119">
        <v>22</v>
      </c>
      <c r="W4" s="22">
        <v>23</v>
      </c>
      <c r="X4" s="22">
        <v>24</v>
      </c>
      <c r="Y4" s="22">
        <v>25</v>
      </c>
      <c r="Z4" s="6">
        <v>26</v>
      </c>
      <c r="AA4" s="6">
        <v>27</v>
      </c>
      <c r="AB4" s="6">
        <v>28</v>
      </c>
    </row>
    <row r="5" spans="1:28" s="8" customFormat="1" ht="34.5" customHeight="1">
      <c r="A5" s="83" t="s">
        <v>26</v>
      </c>
      <c r="B5" s="109">
        <v>2.364</v>
      </c>
      <c r="C5" s="33">
        <v>5435.7</v>
      </c>
      <c r="D5" s="33">
        <f aca="true" t="shared" si="0" ref="D5:D12">C5/B5</f>
        <v>2299.3654822335025</v>
      </c>
      <c r="E5" s="16">
        <f>D5/D$29</f>
        <v>1.3469563245613863</v>
      </c>
      <c r="F5" s="112">
        <f>'2 вариант'!F5</f>
        <v>1.1267148277794294</v>
      </c>
      <c r="G5" s="60">
        <f aca="true" t="shared" si="1" ref="G5:G12">E5/F5</f>
        <v>1.1954722626807146</v>
      </c>
      <c r="H5" s="16"/>
      <c r="I5" s="33"/>
      <c r="J5" s="16"/>
      <c r="K5" s="33">
        <f>I5*J5</f>
        <v>0</v>
      </c>
      <c r="L5" s="33">
        <f aca="true" t="shared" si="2" ref="L5:L12">C5+K5</f>
        <v>5435.7</v>
      </c>
      <c r="M5" s="33">
        <f>L5/B5</f>
        <v>2299.3654822335025</v>
      </c>
      <c r="N5" s="17">
        <f aca="true" t="shared" si="3" ref="N5:N12">G5+K5/(F5*B5*$M$29)</f>
        <v>1.1954722626807146</v>
      </c>
      <c r="O5" s="33">
        <f aca="true" t="shared" si="4" ref="O5:O12">C5</f>
        <v>5435.7</v>
      </c>
      <c r="P5" s="23">
        <v>742.6786943108309</v>
      </c>
      <c r="Q5" s="23">
        <f>(O5+P5+K5)/B5</f>
        <v>2613.5273664597426</v>
      </c>
      <c r="R5" s="40" t="s">
        <v>7</v>
      </c>
      <c r="S5" s="33">
        <f>Q$29*(R$29-N5)*F5*B5+1052.4</f>
        <v>0.03732937713903084</v>
      </c>
      <c r="T5" s="36" t="s">
        <v>7</v>
      </c>
      <c r="U5" s="33">
        <f>(T$29-K$29)*S5/S$29</f>
        <v>0.026504801335948305</v>
      </c>
      <c r="V5" s="33">
        <f>K5+U5</f>
        <v>0.026504801335948305</v>
      </c>
      <c r="W5" s="49">
        <f aca="true" t="shared" si="5" ref="W5:W12">G5+V5/(B5*F5*Q$29)</f>
        <v>1.1954771858442148</v>
      </c>
      <c r="X5" s="50">
        <v>0</v>
      </c>
      <c r="Y5" s="50">
        <f>X5-V5</f>
        <v>-0.026504801335948305</v>
      </c>
      <c r="Z5" s="78"/>
      <c r="AA5" s="78"/>
      <c r="AB5" s="78"/>
    </row>
    <row r="6" spans="1:30" s="8" customFormat="1" ht="34.5" customHeight="1">
      <c r="A6" s="83" t="s">
        <v>27</v>
      </c>
      <c r="B6" s="109">
        <v>17.989</v>
      </c>
      <c r="C6" s="33">
        <v>42831.8</v>
      </c>
      <c r="D6" s="33">
        <f t="shared" si="0"/>
        <v>2380.999499694258</v>
      </c>
      <c r="E6" s="16">
        <f aca="true" t="shared" si="6" ref="E6:E12">D6/D$29</f>
        <v>1.3947771068457715</v>
      </c>
      <c r="F6" s="112">
        <f>'2 вариант'!F6</f>
        <v>1.0071145907194605</v>
      </c>
      <c r="G6" s="60">
        <f t="shared" si="1"/>
        <v>1.3849239398362538</v>
      </c>
      <c r="H6" s="60">
        <v>1.38492</v>
      </c>
      <c r="I6" s="34"/>
      <c r="J6" s="28"/>
      <c r="K6" s="33">
        <f aca="true" t="shared" si="7" ref="K6:K12">I6*J6</f>
        <v>0</v>
      </c>
      <c r="L6" s="33">
        <f t="shared" si="2"/>
        <v>42831.8</v>
      </c>
      <c r="M6" s="33">
        <f aca="true" t="shared" si="8" ref="M6:M12">L6/B6</f>
        <v>2380.999499694258</v>
      </c>
      <c r="N6" s="17">
        <f t="shared" si="3"/>
        <v>1.3849239398362538</v>
      </c>
      <c r="O6" s="33">
        <f t="shared" si="4"/>
        <v>42831.8</v>
      </c>
      <c r="P6" s="23">
        <v>5651.458135345829</v>
      </c>
      <c r="Q6" s="23">
        <f aca="true" t="shared" si="9" ref="Q6:Q12">(O6+P6+K6)/B6</f>
        <v>2695.1613839204974</v>
      </c>
      <c r="R6" s="110" t="s">
        <v>7</v>
      </c>
      <c r="S6" s="33">
        <f>Q$29*(R$29-N6)*F6*B6+14095.5</f>
        <v>0.027315004210322513</v>
      </c>
      <c r="T6" s="36" t="s">
        <v>7</v>
      </c>
      <c r="U6" s="33">
        <f aca="true" t="shared" si="10" ref="U6:U12">(T$29-K$29)*S6/S$29</f>
        <v>0.019394343425254</v>
      </c>
      <c r="V6" s="33">
        <f>K6+U6</f>
        <v>0.019394343425254</v>
      </c>
      <c r="W6" s="49">
        <f t="shared" si="5"/>
        <v>1.3849244694635496</v>
      </c>
      <c r="X6" s="50">
        <v>0</v>
      </c>
      <c r="Y6" s="50">
        <f>X6-V6</f>
        <v>-0.019394343425254</v>
      </c>
      <c r="Z6" s="78"/>
      <c r="AA6" s="78"/>
      <c r="AB6" s="78"/>
      <c r="AD6" s="80"/>
    </row>
    <row r="7" spans="1:32" s="8" customFormat="1" ht="34.5" customHeight="1">
      <c r="A7" s="83" t="s">
        <v>28</v>
      </c>
      <c r="B7" s="109">
        <v>1.222</v>
      </c>
      <c r="C7" s="33">
        <v>700.6</v>
      </c>
      <c r="D7" s="33">
        <f t="shared" si="0"/>
        <v>573.3224222585925</v>
      </c>
      <c r="E7" s="16">
        <f t="shared" si="6"/>
        <v>0.33584928913690776</v>
      </c>
      <c r="F7" s="112">
        <f>'2 вариант'!F7</f>
        <v>1.2560195362390634</v>
      </c>
      <c r="G7" s="60">
        <f t="shared" si="1"/>
        <v>0.2673917717415059</v>
      </c>
      <c r="H7" s="60"/>
      <c r="I7" s="33">
        <f>$D$29*($H$29-G7)*F7*B7</f>
        <v>1230.7159006778836</v>
      </c>
      <c r="J7" s="16">
        <v>0.65</v>
      </c>
      <c r="K7" s="33">
        <f>I7*J7</f>
        <v>799.9653354406244</v>
      </c>
      <c r="L7" s="33">
        <f t="shared" si="2"/>
        <v>1500.5653354406245</v>
      </c>
      <c r="M7" s="33">
        <f t="shared" si="8"/>
        <v>1227.9585396404457</v>
      </c>
      <c r="N7" s="17">
        <f t="shared" si="3"/>
        <v>0.5341139581176342</v>
      </c>
      <c r="O7" s="33">
        <f t="shared" si="4"/>
        <v>700.6</v>
      </c>
      <c r="P7" s="23">
        <v>383.90582252446507</v>
      </c>
      <c r="Q7" s="23">
        <f t="shared" si="9"/>
        <v>1542.1204238666855</v>
      </c>
      <c r="R7" s="40" t="s">
        <v>7</v>
      </c>
      <c r="S7" s="33">
        <f>Q$29*(R$29-N7)*F7*B7</f>
        <v>1445.3269865792986</v>
      </c>
      <c r="T7" s="36" t="s">
        <v>7</v>
      </c>
      <c r="U7" s="33">
        <f t="shared" si="10"/>
        <v>1026.2186937138836</v>
      </c>
      <c r="V7" s="33">
        <f>K7+U7+932.6</f>
        <v>2758.784029154508</v>
      </c>
      <c r="W7" s="16">
        <f t="shared" si="5"/>
        <v>1.156656957879758</v>
      </c>
      <c r="X7" s="23">
        <v>2508</v>
      </c>
      <c r="Y7" s="23">
        <f>V7-X7</f>
        <v>250.78402915450806</v>
      </c>
      <c r="Z7" s="54">
        <v>1.9302</v>
      </c>
      <c r="AA7" s="55">
        <f>('2 вариант'!C7+V7)/1613</f>
        <v>2.282755132767829</v>
      </c>
      <c r="AB7" s="55">
        <f>AA7-Z7</f>
        <v>0.3525551327678291</v>
      </c>
      <c r="AC7" s="79">
        <f>V7/X7*100</f>
        <v>109.99936320392776</v>
      </c>
      <c r="AD7" s="41">
        <f>X7*1.11</f>
        <v>2783.88</v>
      </c>
      <c r="AE7" s="106">
        <f>X7*1.1</f>
        <v>2758.8</v>
      </c>
      <c r="AF7" s="107">
        <f>AE7-V7</f>
        <v>0.015970845492120134</v>
      </c>
    </row>
    <row r="8" spans="1:32" s="8" customFormat="1" ht="34.5" customHeight="1">
      <c r="A8" s="83" t="s">
        <v>29</v>
      </c>
      <c r="B8" s="109">
        <v>1.535</v>
      </c>
      <c r="C8" s="33">
        <v>503.4</v>
      </c>
      <c r="D8" s="33">
        <f t="shared" si="0"/>
        <v>327.9478827361564</v>
      </c>
      <c r="E8" s="16">
        <f t="shared" si="6"/>
        <v>0.19211016177771928</v>
      </c>
      <c r="F8" s="112">
        <f>'2 вариант'!F8</f>
        <v>1.2014701245718156</v>
      </c>
      <c r="G8" s="60">
        <f t="shared" si="1"/>
        <v>0.1598959123899849</v>
      </c>
      <c r="H8" s="16"/>
      <c r="I8" s="33">
        <f>$D$29*($H$29-G8)*F8*B8</f>
        <v>1817.2362487269363</v>
      </c>
      <c r="J8" s="16">
        <v>0.65</v>
      </c>
      <c r="K8" s="33">
        <f t="shared" si="7"/>
        <v>1181.2035616725086</v>
      </c>
      <c r="L8" s="33">
        <f t="shared" si="2"/>
        <v>1684.6035616725085</v>
      </c>
      <c r="M8" s="33">
        <f t="shared" si="8"/>
        <v>1097.4616036954453</v>
      </c>
      <c r="N8" s="17">
        <f t="shared" si="3"/>
        <v>0.48765818814241835</v>
      </c>
      <c r="O8" s="33">
        <f t="shared" si="4"/>
        <v>503.4</v>
      </c>
      <c r="P8" s="23">
        <v>482.2384922872781</v>
      </c>
      <c r="Q8" s="23">
        <f t="shared" si="9"/>
        <v>1411.623487921685</v>
      </c>
      <c r="R8" s="40" t="s">
        <v>7</v>
      </c>
      <c r="S8" s="33">
        <f>Q$29*(R$29-N8)*F8*B8</f>
        <v>1909.8531184004426</v>
      </c>
      <c r="T8" s="36" t="s">
        <v>7</v>
      </c>
      <c r="U8" s="33">
        <f t="shared" si="10"/>
        <v>1356.0439890414768</v>
      </c>
      <c r="V8" s="33">
        <f>K8+U8+110.5+50</f>
        <v>2697.747550713985</v>
      </c>
      <c r="W8" s="16">
        <f t="shared" si="5"/>
        <v>0.8836001882584678</v>
      </c>
      <c r="X8" s="23">
        <v>2407</v>
      </c>
      <c r="Y8" s="23">
        <f>V8-X8</f>
        <v>290.7475507139852</v>
      </c>
      <c r="Z8" s="53">
        <v>1.79068</v>
      </c>
      <c r="AA8" s="55">
        <f>('2 вариант'!C8+V8)/1856</f>
        <v>1.9361247579277936</v>
      </c>
      <c r="AB8" s="55">
        <f>AA8-Z8</f>
        <v>0.14544475792779354</v>
      </c>
      <c r="AC8" s="79">
        <f>V8/X8*100</f>
        <v>112.0792501335266</v>
      </c>
      <c r="AD8" s="41">
        <f>X8*1.11</f>
        <v>2671.7700000000004</v>
      </c>
      <c r="AE8" s="106">
        <f>X8*1.1+50</f>
        <v>2697.7000000000003</v>
      </c>
      <c r="AF8" s="107">
        <f aca="true" t="shared" si="11" ref="AF8:AF29">AE8-V8</f>
        <v>-0.047550713984946924</v>
      </c>
    </row>
    <row r="9" spans="1:32" s="8" customFormat="1" ht="34.5" customHeight="1">
      <c r="A9" s="83" t="s">
        <v>30</v>
      </c>
      <c r="B9" s="109">
        <v>3.171</v>
      </c>
      <c r="C9" s="33">
        <v>740</v>
      </c>
      <c r="D9" s="33">
        <f t="shared" si="0"/>
        <v>233.36486912645856</v>
      </c>
      <c r="E9" s="16">
        <f t="shared" si="6"/>
        <v>0.13670392498672937</v>
      </c>
      <c r="F9" s="112">
        <f>'2 вариант'!F9</f>
        <v>1.0918679099322444</v>
      </c>
      <c r="G9" s="60">
        <f t="shared" si="1"/>
        <v>0.1252018891142359</v>
      </c>
      <c r="H9" s="60"/>
      <c r="I9" s="33">
        <f>$D$29*($H$29-G9)*F9*B9</f>
        <v>3616.6438656718624</v>
      </c>
      <c r="J9" s="16">
        <v>0.65</v>
      </c>
      <c r="K9" s="33">
        <f t="shared" si="7"/>
        <v>2350.8185126867106</v>
      </c>
      <c r="L9" s="33">
        <f t="shared" si="2"/>
        <v>3090.8185126867106</v>
      </c>
      <c r="M9" s="33">
        <f t="shared" si="8"/>
        <v>974.714132036175</v>
      </c>
      <c r="N9" s="17">
        <f t="shared" si="3"/>
        <v>0.47266470304879776</v>
      </c>
      <c r="O9" s="33">
        <f t="shared" si="4"/>
        <v>740</v>
      </c>
      <c r="P9" s="23">
        <v>996.2073348814066</v>
      </c>
      <c r="Q9" s="23">
        <f t="shared" si="9"/>
        <v>1288.8760162624149</v>
      </c>
      <c r="R9" s="40" t="s">
        <v>7</v>
      </c>
      <c r="S9" s="33">
        <f>Q$29*(R$29-N9)*F9*B9</f>
        <v>3690.3877345164296</v>
      </c>
      <c r="T9" s="36" t="s">
        <v>7</v>
      </c>
      <c r="U9" s="33">
        <f t="shared" si="10"/>
        <v>2620.2685727029457</v>
      </c>
      <c r="V9" s="33">
        <f>K9+U9-1969.7</f>
        <v>3001.387085389656</v>
      </c>
      <c r="W9" s="16">
        <f t="shared" si="5"/>
        <v>0.5540829346304061</v>
      </c>
      <c r="X9" s="23">
        <v>2728.5</v>
      </c>
      <c r="Y9" s="23">
        <f>V9-X9</f>
        <v>272.887085389656</v>
      </c>
      <c r="Z9" s="53">
        <v>1.45038</v>
      </c>
      <c r="AA9" s="55">
        <f>('2 вариант'!C9+V9)/3392</f>
        <v>1.365414824702139</v>
      </c>
      <c r="AB9" s="55">
        <f>AA9-Z9</f>
        <v>-0.08496517529786107</v>
      </c>
      <c r="AC9" s="79">
        <f>V9/X9*100</f>
        <v>110.00135918598704</v>
      </c>
      <c r="AD9" s="41">
        <f>X9*1.11</f>
        <v>3028.635</v>
      </c>
      <c r="AE9" s="106">
        <f aca="true" t="shared" si="12" ref="AE9:AE28">X9*1.1</f>
        <v>3001.3500000000004</v>
      </c>
      <c r="AF9" s="107">
        <f t="shared" si="11"/>
        <v>-0.03708538965565822</v>
      </c>
    </row>
    <row r="10" spans="1:32" s="8" customFormat="1" ht="34.5" customHeight="1">
      <c r="A10" s="83" t="s">
        <v>31</v>
      </c>
      <c r="B10" s="109">
        <v>0.426</v>
      </c>
      <c r="C10" s="33">
        <v>147.2</v>
      </c>
      <c r="D10" s="33">
        <f t="shared" si="0"/>
        <v>345.53990610328634</v>
      </c>
      <c r="E10" s="16">
        <f t="shared" si="6"/>
        <v>0.20241547744818436</v>
      </c>
      <c r="F10" s="112">
        <f>'2 вариант'!F10</f>
        <v>1.7533090295285165</v>
      </c>
      <c r="G10" s="60">
        <f t="shared" si="1"/>
        <v>0.1154476900758425</v>
      </c>
      <c r="H10" s="60"/>
      <c r="I10" s="33">
        <f>$D$29*($H$29-G10)*F10*B10</f>
        <v>792.6396956461106</v>
      </c>
      <c r="J10" s="16">
        <v>0.65</v>
      </c>
      <c r="K10" s="33">
        <f t="shared" si="7"/>
        <v>515.2158021699719</v>
      </c>
      <c r="L10" s="33">
        <f t="shared" si="2"/>
        <v>662.4158021699718</v>
      </c>
      <c r="M10" s="33">
        <f t="shared" si="8"/>
        <v>1554.9666717604973</v>
      </c>
      <c r="N10" s="17">
        <f t="shared" si="3"/>
        <v>0.4684492957805207</v>
      </c>
      <c r="O10" s="33">
        <f t="shared" si="4"/>
        <v>147.2</v>
      </c>
      <c r="P10" s="23">
        <v>133.83296268037816</v>
      </c>
      <c r="Q10" s="23">
        <f t="shared" si="9"/>
        <v>1869.128555986737</v>
      </c>
      <c r="R10" s="40" t="s">
        <v>7</v>
      </c>
      <c r="S10" s="33">
        <f>Q$29*(R$29-N10)*F10*B10</f>
        <v>802.4751242399931</v>
      </c>
      <c r="T10" s="36" t="s">
        <v>7</v>
      </c>
      <c r="U10" s="33">
        <f t="shared" si="10"/>
        <v>569.7776222143967</v>
      </c>
      <c r="V10" s="33">
        <f>K10+U10+397.7</f>
        <v>1482.6934243843687</v>
      </c>
      <c r="W10" s="16">
        <f t="shared" si="5"/>
        <v>1.09756752166504</v>
      </c>
      <c r="X10" s="23">
        <v>1347.9</v>
      </c>
      <c r="Y10" s="23">
        <f>V10-X10</f>
        <v>134.79342438436856</v>
      </c>
      <c r="Z10" s="53">
        <v>2.09743</v>
      </c>
      <c r="AA10" s="55">
        <f>('2 вариант'!C10+V10)/534</f>
        <v>3.283695551281589</v>
      </c>
      <c r="AB10" s="56">
        <f>AA10-Z10</f>
        <v>1.186265551281589</v>
      </c>
      <c r="AC10" s="79">
        <f>V10/X10*100</f>
        <v>110.0002540532954</v>
      </c>
      <c r="AD10" s="41">
        <f>X10*1.11</f>
        <v>1496.1690000000003</v>
      </c>
      <c r="AE10" s="106">
        <f t="shared" si="12"/>
        <v>1482.6900000000003</v>
      </c>
      <c r="AF10" s="107">
        <f t="shared" si="11"/>
        <v>-0.0034243843683725572</v>
      </c>
    </row>
    <row r="11" spans="1:32" s="8" customFormat="1" ht="34.5" customHeight="1">
      <c r="A11" s="83" t="s">
        <v>32</v>
      </c>
      <c r="B11" s="109">
        <v>1.956</v>
      </c>
      <c r="C11" s="33">
        <v>828.1</v>
      </c>
      <c r="D11" s="33">
        <f t="shared" si="0"/>
        <v>423.3640081799591</v>
      </c>
      <c r="E11" s="16">
        <f t="shared" si="6"/>
        <v>0.248004431142341</v>
      </c>
      <c r="F11" s="112">
        <f>'2 вариант'!F11</f>
        <v>1.1556441972793263</v>
      </c>
      <c r="G11" s="60">
        <f>E11/F11</f>
        <v>0.21460275725539493</v>
      </c>
      <c r="H11" s="60"/>
      <c r="I11" s="33">
        <f>$D$29*($H$29-G11)*F11*B11</f>
        <v>2016.221663582687</v>
      </c>
      <c r="J11" s="16">
        <v>0.65</v>
      </c>
      <c r="K11" s="33">
        <f t="shared" si="7"/>
        <v>1310.5440813287466</v>
      </c>
      <c r="L11" s="33">
        <f t="shared" si="2"/>
        <v>2138.644081328747</v>
      </c>
      <c r="M11" s="33">
        <f t="shared" si="8"/>
        <v>1093.3763196977234</v>
      </c>
      <c r="N11" s="17">
        <f t="shared" si="3"/>
        <v>0.5113004811243884</v>
      </c>
      <c r="O11" s="33">
        <f t="shared" si="4"/>
        <v>828.1</v>
      </c>
      <c r="P11" s="23">
        <v>614.5006455465251</v>
      </c>
      <c r="Q11" s="23">
        <f t="shared" si="9"/>
        <v>1407.538203923963</v>
      </c>
      <c r="R11" s="40" t="s">
        <v>7</v>
      </c>
      <c r="S11" s="33">
        <f>Q$29*(R$29-N11)*F11*B11</f>
        <v>2232.8200183710014</v>
      </c>
      <c r="T11" s="36" t="s">
        <v>7</v>
      </c>
      <c r="U11" s="33">
        <f t="shared" si="10"/>
        <v>1585.3586515906252</v>
      </c>
      <c r="V11" s="33">
        <f>K11+U11-113.5</f>
        <v>2782.402732919372</v>
      </c>
      <c r="W11" s="16">
        <f t="shared" si="5"/>
        <v>0.8235899867267265</v>
      </c>
      <c r="X11" s="23">
        <v>2529.5</v>
      </c>
      <c r="Y11" s="23">
        <f>V11-X11</f>
        <v>252.90273291937183</v>
      </c>
      <c r="Z11" s="53">
        <v>1.67258</v>
      </c>
      <c r="AA11" s="55">
        <f>('2 вариант'!C11)/2193</f>
        <v>0.6214774281805746</v>
      </c>
      <c r="AB11" s="55">
        <f>AA11-Z11</f>
        <v>-1.0511025718194253</v>
      </c>
      <c r="AC11" s="79">
        <f>V11/X11*100</f>
        <v>109.99813136664842</v>
      </c>
      <c r="AD11" s="41">
        <f>X11*1.11</f>
        <v>2807.7450000000003</v>
      </c>
      <c r="AE11" s="106">
        <f t="shared" si="12"/>
        <v>2782.4500000000003</v>
      </c>
      <c r="AF11" s="107">
        <f t="shared" si="11"/>
        <v>0.04726708062844409</v>
      </c>
    </row>
    <row r="12" spans="1:32" s="8" customFormat="1" ht="33" customHeight="1">
      <c r="A12" s="83" t="s">
        <v>33</v>
      </c>
      <c r="B12" s="109">
        <v>1.482</v>
      </c>
      <c r="C12" s="33">
        <v>273.2</v>
      </c>
      <c r="D12" s="33">
        <f t="shared" si="0"/>
        <v>184.3454790823212</v>
      </c>
      <c r="E12" s="16">
        <f t="shared" si="6"/>
        <v>0.10798862158835158</v>
      </c>
      <c r="F12" s="112">
        <f>'2 вариант'!F12</f>
        <v>1.2093287745046664</v>
      </c>
      <c r="G12" s="60">
        <f t="shared" si="1"/>
        <v>0.08929633021639054</v>
      </c>
      <c r="H12" s="60">
        <f>G12</f>
        <v>0.08929633021639054</v>
      </c>
      <c r="I12" s="33">
        <f>$D$29*($H$29-G12)*F12*B12</f>
        <v>1981.9649123716797</v>
      </c>
      <c r="J12" s="16">
        <v>0.65</v>
      </c>
      <c r="K12" s="33">
        <f t="shared" si="7"/>
        <v>1288.2771930415918</v>
      </c>
      <c r="L12" s="33">
        <f t="shared" si="2"/>
        <v>1561.4771930415918</v>
      </c>
      <c r="M12" s="33">
        <f t="shared" si="8"/>
        <v>1053.6283353856895</v>
      </c>
      <c r="N12" s="17">
        <f t="shared" si="3"/>
        <v>0.45714763667012637</v>
      </c>
      <c r="O12" s="33">
        <f t="shared" si="4"/>
        <v>273.2</v>
      </c>
      <c r="P12" s="23">
        <v>465.58791242328743</v>
      </c>
      <c r="Q12" s="23">
        <f t="shared" si="9"/>
        <v>1367.7902196119294</v>
      </c>
      <c r="R12" s="40" t="s">
        <v>7</v>
      </c>
      <c r="S12" s="33">
        <f>Q$29*(R$29-N12)*F12*B12</f>
        <v>1966.4963077689727</v>
      </c>
      <c r="T12" s="36" t="s">
        <v>7</v>
      </c>
      <c r="U12" s="33">
        <f t="shared" si="10"/>
        <v>1396.2620852517573</v>
      </c>
      <c r="V12" s="33">
        <f>K12+U12+592.5-0.1</f>
        <v>3276.939278293349</v>
      </c>
      <c r="W12" s="16">
        <f t="shared" si="5"/>
        <v>0.9938971803081073</v>
      </c>
      <c r="X12" s="23">
        <f>2979.1</f>
        <v>2979.1</v>
      </c>
      <c r="Y12" s="23">
        <f>V12-X12</f>
        <v>297.83927829334925</v>
      </c>
      <c r="Z12" s="53">
        <v>1.74986</v>
      </c>
      <c r="AA12" s="55">
        <f>('2 вариант'!C12+V12)/1819</f>
        <v>2.1915554031299336</v>
      </c>
      <c r="AB12" s="55">
        <f>AA12-Z12</f>
        <v>0.4416954031299336</v>
      </c>
      <c r="AC12" s="79">
        <f>V12/X12*100</f>
        <v>109.99762607140913</v>
      </c>
      <c r="AD12" s="41">
        <f>X12*1.11-11.5</f>
        <v>3295.3010000000004</v>
      </c>
      <c r="AE12" s="106">
        <f>X12*1.1</f>
        <v>3277.01</v>
      </c>
      <c r="AF12" s="107">
        <f t="shared" si="11"/>
        <v>0.07072170665105659</v>
      </c>
    </row>
    <row r="13" spans="1:32" s="8" customFormat="1" ht="34.5" customHeight="1" hidden="1">
      <c r="A13" s="83"/>
      <c r="B13" s="111"/>
      <c r="C13" s="33"/>
      <c r="D13" s="33"/>
      <c r="E13" s="16"/>
      <c r="F13" s="112"/>
      <c r="G13" s="16"/>
      <c r="H13" s="16"/>
      <c r="I13" s="33"/>
      <c r="J13" s="16"/>
      <c r="K13" s="33"/>
      <c r="L13" s="33"/>
      <c r="M13" s="33"/>
      <c r="N13" s="17"/>
      <c r="O13" s="23"/>
      <c r="P13" s="23"/>
      <c r="Q13" s="23"/>
      <c r="R13" s="40" t="s">
        <v>7</v>
      </c>
      <c r="S13" s="33"/>
      <c r="T13" s="36" t="s">
        <v>7</v>
      </c>
      <c r="U13" s="33"/>
      <c r="V13" s="33"/>
      <c r="W13" s="16"/>
      <c r="X13" s="43"/>
      <c r="Y13" s="43"/>
      <c r="Z13" s="51"/>
      <c r="AA13" s="51"/>
      <c r="AB13" s="51"/>
      <c r="AD13" s="81">
        <f>SUM(AD7:AD12)</f>
        <v>16083.5</v>
      </c>
      <c r="AE13" s="106">
        <f t="shared" si="12"/>
        <v>0</v>
      </c>
      <c r="AF13" s="107">
        <f t="shared" si="11"/>
        <v>0</v>
      </c>
    </row>
    <row r="14" spans="1:32" s="8" customFormat="1" ht="34.5" customHeight="1" hidden="1">
      <c r="A14" s="83"/>
      <c r="B14" s="111"/>
      <c r="C14" s="33"/>
      <c r="D14" s="33"/>
      <c r="E14" s="16"/>
      <c r="F14" s="16"/>
      <c r="G14" s="16"/>
      <c r="H14" s="16"/>
      <c r="I14" s="33"/>
      <c r="J14" s="16"/>
      <c r="K14" s="33"/>
      <c r="L14" s="33"/>
      <c r="M14" s="33"/>
      <c r="N14" s="17"/>
      <c r="O14" s="23"/>
      <c r="P14" s="23"/>
      <c r="Q14" s="23"/>
      <c r="R14" s="40" t="s">
        <v>7</v>
      </c>
      <c r="S14" s="33"/>
      <c r="T14" s="36" t="s">
        <v>7</v>
      </c>
      <c r="U14" s="33"/>
      <c r="V14" s="33"/>
      <c r="W14" s="16"/>
      <c r="X14" s="43"/>
      <c r="Y14" s="43"/>
      <c r="Z14" s="51"/>
      <c r="AA14" s="51"/>
      <c r="AB14" s="51"/>
      <c r="AE14" s="106">
        <f t="shared" si="12"/>
        <v>0</v>
      </c>
      <c r="AF14" s="107">
        <f t="shared" si="11"/>
        <v>0</v>
      </c>
    </row>
    <row r="15" spans="1:32" s="8" customFormat="1" ht="34.5" customHeight="1" hidden="1">
      <c r="A15" s="83"/>
      <c r="B15" s="111"/>
      <c r="C15" s="33"/>
      <c r="D15" s="33"/>
      <c r="E15" s="16"/>
      <c r="F15" s="16"/>
      <c r="G15" s="16"/>
      <c r="H15" s="16"/>
      <c r="I15" s="33"/>
      <c r="J15" s="16"/>
      <c r="K15" s="33"/>
      <c r="L15" s="33"/>
      <c r="M15" s="33"/>
      <c r="N15" s="17"/>
      <c r="O15" s="23"/>
      <c r="P15" s="23"/>
      <c r="Q15" s="23"/>
      <c r="R15" s="40" t="s">
        <v>7</v>
      </c>
      <c r="S15" s="33"/>
      <c r="T15" s="36" t="s">
        <v>7</v>
      </c>
      <c r="U15" s="33"/>
      <c r="V15" s="33"/>
      <c r="W15" s="16"/>
      <c r="X15" s="43"/>
      <c r="Y15" s="43"/>
      <c r="Z15" s="51"/>
      <c r="AA15" s="51"/>
      <c r="AB15" s="51"/>
      <c r="AE15" s="106">
        <f t="shared" si="12"/>
        <v>0</v>
      </c>
      <c r="AF15" s="107">
        <f t="shared" si="11"/>
        <v>0</v>
      </c>
    </row>
    <row r="16" spans="1:32" s="8" customFormat="1" ht="34.5" customHeight="1" hidden="1">
      <c r="A16" s="83"/>
      <c r="B16" s="111"/>
      <c r="C16" s="33"/>
      <c r="D16" s="33"/>
      <c r="E16" s="16"/>
      <c r="F16" s="16"/>
      <c r="G16" s="16"/>
      <c r="H16" s="16"/>
      <c r="I16" s="33"/>
      <c r="J16" s="16"/>
      <c r="K16" s="33"/>
      <c r="L16" s="33"/>
      <c r="M16" s="33"/>
      <c r="N16" s="17"/>
      <c r="O16" s="23"/>
      <c r="P16" s="23"/>
      <c r="Q16" s="23"/>
      <c r="R16" s="40" t="s">
        <v>7</v>
      </c>
      <c r="S16" s="33"/>
      <c r="T16" s="36" t="s">
        <v>7</v>
      </c>
      <c r="U16" s="33"/>
      <c r="V16" s="33"/>
      <c r="W16" s="16"/>
      <c r="X16" s="43"/>
      <c r="Y16" s="43"/>
      <c r="Z16" s="51"/>
      <c r="AA16" s="51"/>
      <c r="AB16" s="51"/>
      <c r="AE16" s="106">
        <f t="shared" si="12"/>
        <v>0</v>
      </c>
      <c r="AF16" s="107">
        <f t="shared" si="11"/>
        <v>0</v>
      </c>
    </row>
    <row r="17" spans="1:32" s="8" customFormat="1" ht="34.5" customHeight="1" hidden="1">
      <c r="A17" s="83"/>
      <c r="B17" s="111"/>
      <c r="C17" s="33"/>
      <c r="D17" s="33"/>
      <c r="E17" s="16"/>
      <c r="F17" s="16"/>
      <c r="G17" s="16"/>
      <c r="H17" s="16"/>
      <c r="I17" s="33"/>
      <c r="J17" s="16"/>
      <c r="K17" s="33"/>
      <c r="L17" s="33"/>
      <c r="M17" s="33"/>
      <c r="N17" s="17"/>
      <c r="O17" s="23"/>
      <c r="P17" s="23"/>
      <c r="Q17" s="23"/>
      <c r="R17" s="40" t="s">
        <v>7</v>
      </c>
      <c r="S17" s="33"/>
      <c r="T17" s="36" t="s">
        <v>7</v>
      </c>
      <c r="U17" s="33"/>
      <c r="V17" s="33"/>
      <c r="W17" s="16"/>
      <c r="X17" s="43"/>
      <c r="Y17" s="43"/>
      <c r="Z17" s="51"/>
      <c r="AA17" s="51"/>
      <c r="AB17" s="51"/>
      <c r="AE17" s="106">
        <f t="shared" si="12"/>
        <v>0</v>
      </c>
      <c r="AF17" s="107">
        <f t="shared" si="11"/>
        <v>0</v>
      </c>
    </row>
    <row r="18" spans="1:32" s="8" customFormat="1" ht="34.5" customHeight="1" hidden="1">
      <c r="A18" s="83"/>
      <c r="B18" s="111"/>
      <c r="C18" s="33"/>
      <c r="D18" s="33"/>
      <c r="E18" s="16"/>
      <c r="F18" s="16"/>
      <c r="G18" s="16"/>
      <c r="H18" s="16"/>
      <c r="I18" s="33"/>
      <c r="J18" s="16"/>
      <c r="K18" s="33"/>
      <c r="L18" s="33"/>
      <c r="M18" s="33"/>
      <c r="N18" s="17"/>
      <c r="O18" s="23"/>
      <c r="P18" s="23"/>
      <c r="Q18" s="23"/>
      <c r="R18" s="40" t="s">
        <v>7</v>
      </c>
      <c r="S18" s="33"/>
      <c r="T18" s="36" t="s">
        <v>7</v>
      </c>
      <c r="U18" s="33"/>
      <c r="V18" s="33"/>
      <c r="W18" s="16"/>
      <c r="X18" s="43"/>
      <c r="Y18" s="43"/>
      <c r="Z18" s="51"/>
      <c r="AA18" s="51"/>
      <c r="AB18" s="51"/>
      <c r="AE18" s="106">
        <f t="shared" si="12"/>
        <v>0</v>
      </c>
      <c r="AF18" s="107">
        <f t="shared" si="11"/>
        <v>0</v>
      </c>
    </row>
    <row r="19" spans="1:32" s="8" customFormat="1" ht="34.5" customHeight="1" hidden="1">
      <c r="A19" s="83"/>
      <c r="B19" s="111"/>
      <c r="C19" s="33"/>
      <c r="D19" s="33"/>
      <c r="E19" s="16"/>
      <c r="F19" s="16"/>
      <c r="G19" s="16"/>
      <c r="H19" s="16"/>
      <c r="I19" s="33"/>
      <c r="J19" s="16"/>
      <c r="K19" s="33"/>
      <c r="L19" s="33"/>
      <c r="M19" s="33"/>
      <c r="N19" s="17"/>
      <c r="O19" s="23"/>
      <c r="P19" s="23"/>
      <c r="Q19" s="23"/>
      <c r="R19" s="40" t="s">
        <v>7</v>
      </c>
      <c r="S19" s="33"/>
      <c r="T19" s="36" t="s">
        <v>7</v>
      </c>
      <c r="U19" s="33"/>
      <c r="V19" s="33"/>
      <c r="W19" s="16"/>
      <c r="X19" s="43"/>
      <c r="Y19" s="43"/>
      <c r="Z19" s="51"/>
      <c r="AA19" s="51"/>
      <c r="AB19" s="51"/>
      <c r="AE19" s="106">
        <f t="shared" si="12"/>
        <v>0</v>
      </c>
      <c r="AF19" s="107">
        <f t="shared" si="11"/>
        <v>0</v>
      </c>
    </row>
    <row r="20" spans="1:32" s="8" customFormat="1" ht="34.5" customHeight="1" hidden="1">
      <c r="A20" s="83"/>
      <c r="B20" s="111"/>
      <c r="C20" s="33"/>
      <c r="D20" s="33"/>
      <c r="E20" s="16"/>
      <c r="F20" s="16"/>
      <c r="G20" s="16"/>
      <c r="H20" s="16"/>
      <c r="I20" s="33"/>
      <c r="J20" s="16"/>
      <c r="K20" s="33"/>
      <c r="L20" s="33"/>
      <c r="M20" s="33"/>
      <c r="N20" s="17"/>
      <c r="O20" s="23"/>
      <c r="P20" s="23"/>
      <c r="Q20" s="23"/>
      <c r="R20" s="40" t="s">
        <v>7</v>
      </c>
      <c r="S20" s="33"/>
      <c r="T20" s="36" t="s">
        <v>7</v>
      </c>
      <c r="U20" s="33"/>
      <c r="V20" s="33"/>
      <c r="W20" s="16"/>
      <c r="X20" s="43"/>
      <c r="Y20" s="43"/>
      <c r="Z20" s="51"/>
      <c r="AA20" s="51"/>
      <c r="AB20" s="51"/>
      <c r="AE20" s="106">
        <f t="shared" si="12"/>
        <v>0</v>
      </c>
      <c r="AF20" s="107">
        <f t="shared" si="11"/>
        <v>0</v>
      </c>
    </row>
    <row r="21" spans="1:32" s="8" customFormat="1" ht="34.5" customHeight="1" hidden="1">
      <c r="A21" s="83"/>
      <c r="B21" s="111"/>
      <c r="C21" s="33"/>
      <c r="D21" s="33"/>
      <c r="E21" s="16"/>
      <c r="F21" s="16"/>
      <c r="G21" s="16"/>
      <c r="H21" s="16"/>
      <c r="I21" s="33"/>
      <c r="J21" s="16"/>
      <c r="K21" s="33"/>
      <c r="L21" s="33"/>
      <c r="M21" s="33"/>
      <c r="N21" s="17"/>
      <c r="O21" s="23"/>
      <c r="P21" s="23"/>
      <c r="Q21" s="23"/>
      <c r="R21" s="40" t="s">
        <v>7</v>
      </c>
      <c r="S21" s="33"/>
      <c r="T21" s="36" t="s">
        <v>7</v>
      </c>
      <c r="U21" s="33"/>
      <c r="V21" s="33"/>
      <c r="W21" s="16"/>
      <c r="X21" s="43"/>
      <c r="Y21" s="43"/>
      <c r="Z21" s="51"/>
      <c r="AA21" s="51"/>
      <c r="AB21" s="51"/>
      <c r="AE21" s="106">
        <f t="shared" si="12"/>
        <v>0</v>
      </c>
      <c r="AF21" s="107">
        <f t="shared" si="11"/>
        <v>0</v>
      </c>
    </row>
    <row r="22" spans="1:32" s="8" customFormat="1" ht="34.5" customHeight="1" hidden="1">
      <c r="A22" s="83"/>
      <c r="B22" s="111"/>
      <c r="C22" s="33"/>
      <c r="D22" s="33"/>
      <c r="E22" s="16"/>
      <c r="F22" s="16"/>
      <c r="G22" s="16"/>
      <c r="H22" s="16"/>
      <c r="I22" s="33"/>
      <c r="J22" s="16"/>
      <c r="K22" s="33"/>
      <c r="L22" s="33"/>
      <c r="M22" s="33"/>
      <c r="N22" s="17"/>
      <c r="O22" s="23"/>
      <c r="P22" s="23"/>
      <c r="Q22" s="23"/>
      <c r="R22" s="40" t="s">
        <v>7</v>
      </c>
      <c r="S22" s="33"/>
      <c r="T22" s="36" t="s">
        <v>7</v>
      </c>
      <c r="U22" s="33"/>
      <c r="V22" s="33"/>
      <c r="W22" s="16"/>
      <c r="X22" s="43"/>
      <c r="Y22" s="43"/>
      <c r="Z22" s="51"/>
      <c r="AA22" s="51"/>
      <c r="AB22" s="51"/>
      <c r="AE22" s="106">
        <f t="shared" si="12"/>
        <v>0</v>
      </c>
      <c r="AF22" s="107">
        <f t="shared" si="11"/>
        <v>0</v>
      </c>
    </row>
    <row r="23" spans="1:32" s="8" customFormat="1" ht="34.5" customHeight="1" hidden="1">
      <c r="A23" s="83"/>
      <c r="B23" s="111"/>
      <c r="C23" s="33"/>
      <c r="D23" s="33"/>
      <c r="E23" s="16"/>
      <c r="F23" s="16"/>
      <c r="G23" s="16"/>
      <c r="H23" s="16"/>
      <c r="I23" s="33"/>
      <c r="J23" s="16"/>
      <c r="K23" s="33"/>
      <c r="L23" s="33"/>
      <c r="M23" s="33"/>
      <c r="N23" s="17"/>
      <c r="O23" s="23"/>
      <c r="P23" s="23"/>
      <c r="Q23" s="23"/>
      <c r="R23" s="40" t="s">
        <v>7</v>
      </c>
      <c r="S23" s="33"/>
      <c r="T23" s="36" t="s">
        <v>7</v>
      </c>
      <c r="U23" s="33"/>
      <c r="V23" s="33"/>
      <c r="W23" s="16"/>
      <c r="X23" s="43"/>
      <c r="Y23" s="43"/>
      <c r="Z23" s="51"/>
      <c r="AA23" s="51"/>
      <c r="AB23" s="51"/>
      <c r="AE23" s="106">
        <f t="shared" si="12"/>
        <v>0</v>
      </c>
      <c r="AF23" s="107">
        <f t="shared" si="11"/>
        <v>0</v>
      </c>
    </row>
    <row r="24" spans="1:32" s="8" customFormat="1" ht="34.5" customHeight="1" hidden="1">
      <c r="A24" s="83"/>
      <c r="B24" s="111"/>
      <c r="C24" s="33"/>
      <c r="D24" s="33"/>
      <c r="E24" s="16"/>
      <c r="F24" s="16"/>
      <c r="G24" s="16"/>
      <c r="H24" s="16"/>
      <c r="I24" s="33"/>
      <c r="J24" s="16"/>
      <c r="K24" s="33"/>
      <c r="L24" s="33"/>
      <c r="M24" s="33"/>
      <c r="N24" s="17"/>
      <c r="O24" s="23"/>
      <c r="P24" s="23"/>
      <c r="Q24" s="23"/>
      <c r="R24" s="40" t="s">
        <v>7</v>
      </c>
      <c r="S24" s="33"/>
      <c r="T24" s="36" t="s">
        <v>7</v>
      </c>
      <c r="U24" s="33"/>
      <c r="V24" s="33"/>
      <c r="W24" s="16"/>
      <c r="X24" s="43"/>
      <c r="Y24" s="43"/>
      <c r="Z24" s="51"/>
      <c r="AA24" s="51"/>
      <c r="AB24" s="51"/>
      <c r="AE24" s="106">
        <f t="shared" si="12"/>
        <v>0</v>
      </c>
      <c r="AF24" s="107">
        <f t="shared" si="11"/>
        <v>0</v>
      </c>
    </row>
    <row r="25" spans="1:32" s="8" customFormat="1" ht="34.5" customHeight="1" hidden="1">
      <c r="A25" s="83"/>
      <c r="B25" s="111"/>
      <c r="C25" s="33"/>
      <c r="D25" s="33"/>
      <c r="E25" s="16"/>
      <c r="F25" s="16"/>
      <c r="G25" s="16"/>
      <c r="H25" s="16"/>
      <c r="I25" s="33"/>
      <c r="J25" s="16"/>
      <c r="K25" s="33"/>
      <c r="L25" s="33"/>
      <c r="M25" s="33"/>
      <c r="N25" s="17"/>
      <c r="O25" s="23"/>
      <c r="P25" s="23"/>
      <c r="Q25" s="23"/>
      <c r="R25" s="40" t="s">
        <v>7</v>
      </c>
      <c r="S25" s="33"/>
      <c r="T25" s="36" t="s">
        <v>7</v>
      </c>
      <c r="U25" s="33"/>
      <c r="V25" s="33"/>
      <c r="W25" s="16"/>
      <c r="X25" s="43"/>
      <c r="Y25" s="43"/>
      <c r="Z25" s="51"/>
      <c r="AA25" s="51"/>
      <c r="AB25" s="51"/>
      <c r="AE25" s="106">
        <f t="shared" si="12"/>
        <v>0</v>
      </c>
      <c r="AF25" s="107">
        <f t="shared" si="11"/>
        <v>0</v>
      </c>
    </row>
    <row r="26" spans="1:32" s="8" customFormat="1" ht="34.5" customHeight="1" hidden="1">
      <c r="A26" s="83"/>
      <c r="B26" s="111"/>
      <c r="C26" s="33"/>
      <c r="D26" s="33"/>
      <c r="E26" s="16"/>
      <c r="F26" s="16"/>
      <c r="G26" s="16"/>
      <c r="H26" s="16"/>
      <c r="I26" s="33"/>
      <c r="J26" s="16"/>
      <c r="K26" s="33"/>
      <c r="L26" s="33"/>
      <c r="M26" s="33"/>
      <c r="N26" s="17"/>
      <c r="O26" s="23"/>
      <c r="P26" s="23"/>
      <c r="Q26" s="23"/>
      <c r="R26" s="40" t="s">
        <v>7</v>
      </c>
      <c r="S26" s="33"/>
      <c r="T26" s="36" t="s">
        <v>7</v>
      </c>
      <c r="U26" s="33"/>
      <c r="V26" s="33"/>
      <c r="W26" s="16"/>
      <c r="X26" s="43"/>
      <c r="Y26" s="43"/>
      <c r="Z26" s="51"/>
      <c r="AA26" s="51"/>
      <c r="AB26" s="51"/>
      <c r="AE26" s="106">
        <f t="shared" si="12"/>
        <v>0</v>
      </c>
      <c r="AF26" s="107">
        <f t="shared" si="11"/>
        <v>0</v>
      </c>
    </row>
    <row r="27" spans="1:32" s="8" customFormat="1" ht="34.5" customHeight="1" hidden="1">
      <c r="A27" s="83"/>
      <c r="B27" s="111"/>
      <c r="C27" s="33"/>
      <c r="D27" s="33"/>
      <c r="E27" s="16"/>
      <c r="F27" s="16"/>
      <c r="G27" s="16"/>
      <c r="H27" s="16"/>
      <c r="I27" s="33"/>
      <c r="J27" s="16"/>
      <c r="K27" s="33"/>
      <c r="L27" s="33"/>
      <c r="M27" s="33"/>
      <c r="N27" s="17"/>
      <c r="O27" s="23"/>
      <c r="P27" s="23"/>
      <c r="Q27" s="23"/>
      <c r="R27" s="40" t="s">
        <v>7</v>
      </c>
      <c r="S27" s="33"/>
      <c r="T27" s="36" t="s">
        <v>7</v>
      </c>
      <c r="U27" s="33"/>
      <c r="V27" s="33"/>
      <c r="W27" s="16"/>
      <c r="X27" s="43"/>
      <c r="Y27" s="43"/>
      <c r="Z27" s="51"/>
      <c r="AA27" s="51"/>
      <c r="AB27" s="51"/>
      <c r="AE27" s="106">
        <f t="shared" si="12"/>
        <v>0</v>
      </c>
      <c r="AF27" s="107">
        <f t="shared" si="11"/>
        <v>0</v>
      </c>
    </row>
    <row r="28" spans="1:32" s="8" customFormat="1" ht="34.5" customHeight="1" hidden="1">
      <c r="A28" s="83"/>
      <c r="B28" s="111"/>
      <c r="C28" s="33"/>
      <c r="D28" s="33"/>
      <c r="E28" s="16"/>
      <c r="F28" s="16"/>
      <c r="G28" s="16"/>
      <c r="H28" s="16"/>
      <c r="I28" s="33"/>
      <c r="J28" s="16"/>
      <c r="K28" s="33"/>
      <c r="L28" s="33"/>
      <c r="M28" s="33"/>
      <c r="N28" s="17"/>
      <c r="O28" s="23"/>
      <c r="P28" s="23"/>
      <c r="Q28" s="23"/>
      <c r="R28" s="40" t="s">
        <v>7</v>
      </c>
      <c r="S28" s="33"/>
      <c r="T28" s="36" t="s">
        <v>7</v>
      </c>
      <c r="U28" s="33"/>
      <c r="V28" s="33"/>
      <c r="W28" s="16"/>
      <c r="X28" s="43"/>
      <c r="Y28" s="43"/>
      <c r="Z28" s="51"/>
      <c r="AA28" s="51"/>
      <c r="AB28" s="51"/>
      <c r="AE28" s="106">
        <f t="shared" si="12"/>
        <v>0</v>
      </c>
      <c r="AF28" s="107">
        <f t="shared" si="11"/>
        <v>0</v>
      </c>
    </row>
    <row r="29" spans="1:32" s="32" customFormat="1" ht="34.5" customHeight="1">
      <c r="A29" s="117" t="s">
        <v>21</v>
      </c>
      <c r="B29" s="113">
        <f>SUM(B5:B28)</f>
        <v>30.145</v>
      </c>
      <c r="C29" s="34">
        <f>SUM(C5:C28)</f>
        <v>51459.99999999999</v>
      </c>
      <c r="D29" s="34">
        <f>C29/B29</f>
        <v>1707.082434897993</v>
      </c>
      <c r="E29" s="28">
        <f>D29/D29</f>
        <v>1</v>
      </c>
      <c r="F29" s="28">
        <v>1.00021659538301</v>
      </c>
      <c r="G29" s="28">
        <f>E29/F29</f>
        <v>0.9997834515203908</v>
      </c>
      <c r="H29" s="44">
        <f>SUM(H5:H28)/2</f>
        <v>0.7371081651081952</v>
      </c>
      <c r="I29" s="34">
        <f>SUM(I5:I28)</f>
        <v>11455.422286677158</v>
      </c>
      <c r="J29" s="28">
        <v>0.65</v>
      </c>
      <c r="K29" s="34">
        <f>SUM(K5:K28)</f>
        <v>7446.024486340154</v>
      </c>
      <c r="L29" s="34">
        <f>SUM(L5:L28)</f>
        <v>58906.024486340146</v>
      </c>
      <c r="M29" s="34">
        <f>L29/B29</f>
        <v>1954.089384187764</v>
      </c>
      <c r="N29" s="30">
        <v>1</v>
      </c>
      <c r="O29" s="31">
        <f>SUM(O5:O28)</f>
        <v>51459.99999999999</v>
      </c>
      <c r="P29" s="114">
        <f>SUM(P5:P28)</f>
        <v>9470.41</v>
      </c>
      <c r="Q29" s="31">
        <f>(O29+P29)/B29</f>
        <v>2021.2443191242326</v>
      </c>
      <c r="R29" s="31">
        <v>1</v>
      </c>
      <c r="S29" s="34">
        <f>SUM(S5:S28)</f>
        <v>12047.423934257487</v>
      </c>
      <c r="T29" s="34">
        <v>16000</v>
      </c>
      <c r="U29" s="34">
        <f>SUM(U5:U28)</f>
        <v>8553.975513659847</v>
      </c>
      <c r="V29" s="34">
        <v>16000</v>
      </c>
      <c r="W29" s="28">
        <f>SUM(W5:W28)/24</f>
        <v>0.3370748510323445</v>
      </c>
      <c r="X29" s="31">
        <f>SUM(X7:X12)</f>
        <v>14500</v>
      </c>
      <c r="Y29" s="31">
        <f>SUM(Y5:Y12)</f>
        <v>1499.908201710478</v>
      </c>
      <c r="Z29" s="52"/>
      <c r="AA29" s="52"/>
      <c r="AB29" s="52"/>
      <c r="AD29" s="71">
        <f>SUM(AD7:AD12)</f>
        <v>16083.5</v>
      </c>
      <c r="AE29" s="73">
        <f>SUM(AE7:AE28)</f>
        <v>16000.000000000002</v>
      </c>
      <c r="AF29" s="107">
        <f t="shared" si="11"/>
        <v>0</v>
      </c>
    </row>
    <row r="30" spans="2:25" s="9" customFormat="1" ht="26.25">
      <c r="B30" s="24"/>
      <c r="F30" s="24"/>
      <c r="G30" s="24"/>
      <c r="S30" s="10"/>
      <c r="T30" s="10"/>
      <c r="W30" s="24"/>
      <c r="X30" s="24"/>
      <c r="Y30" s="24"/>
    </row>
    <row r="31" spans="2:25" s="9" customFormat="1" ht="26.25">
      <c r="B31" s="24"/>
      <c r="F31" s="24"/>
      <c r="G31" s="38"/>
      <c r="K31" s="11"/>
      <c r="W31" s="24"/>
      <c r="X31" s="77">
        <f>V29/X29</f>
        <v>1.103448275862069</v>
      </c>
      <c r="Y31" s="24"/>
    </row>
    <row r="32" spans="1:25" s="9" customFormat="1" ht="150.75" hidden="1" thickBot="1">
      <c r="A32" s="65"/>
      <c r="B32" s="66" t="s">
        <v>22</v>
      </c>
      <c r="C32" s="66" t="s">
        <v>23</v>
      </c>
      <c r="F32" s="24" t="s">
        <v>39</v>
      </c>
      <c r="G32" s="38"/>
      <c r="H32" s="11"/>
      <c r="M32" s="9" t="s">
        <v>44</v>
      </c>
      <c r="N32" s="11"/>
      <c r="O32" s="11"/>
      <c r="P32" s="11" t="s">
        <v>22</v>
      </c>
      <c r="Q32" s="68" t="s">
        <v>23</v>
      </c>
      <c r="R32" s="11"/>
      <c r="W32" s="11"/>
      <c r="X32" s="24"/>
      <c r="Y32" s="24"/>
    </row>
    <row r="33" spans="2:25" s="12" customFormat="1" ht="26.25" hidden="1">
      <c r="B33" s="25"/>
      <c r="F33" s="25"/>
      <c r="G33" s="39"/>
      <c r="H33" s="13"/>
      <c r="N33" s="13"/>
      <c r="O33" s="13"/>
      <c r="P33" s="13"/>
      <c r="Q33" s="13"/>
      <c r="R33" s="13"/>
      <c r="W33" s="13"/>
      <c r="X33" s="25"/>
      <c r="Y33" s="25"/>
    </row>
    <row r="34" spans="2:25" s="12" customFormat="1" ht="26.25">
      <c r="B34" s="25"/>
      <c r="F34" s="25"/>
      <c r="G34" s="25"/>
      <c r="X34" s="25"/>
      <c r="Y34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4"/>
  <sheetViews>
    <sheetView zoomScale="50" zoomScaleNormal="50" zoomScalePageLayoutView="0" workbookViewId="0" topLeftCell="A4">
      <selection activeCell="C44" sqref="C44"/>
    </sheetView>
  </sheetViews>
  <sheetFormatPr defaultColWidth="19.57421875" defaultRowHeight="15"/>
  <cols>
    <col min="1" max="1" width="55.421875" style="1" customWidth="1"/>
    <col min="2" max="2" width="33.57421875" style="26" customWidth="1"/>
    <col min="3" max="3" width="32.8515625" style="1" customWidth="1"/>
    <col min="4" max="4" width="24.421875" style="1" customWidth="1"/>
    <col min="5" max="5" width="29.00390625" style="1" customWidth="1"/>
    <col min="6" max="6" width="26.7109375" style="26" customWidth="1"/>
    <col min="7" max="7" width="28.00390625" style="26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0.8515625" style="1" hidden="1" customWidth="1"/>
    <col min="24" max="24" width="31.8515625" style="26" hidden="1" customWidth="1"/>
    <col min="25" max="26" width="23.8515625" style="26" hidden="1" customWidth="1"/>
    <col min="27" max="28" width="0" style="1" hidden="1" customWidth="1"/>
    <col min="29" max="29" width="23.421875" style="1" hidden="1" customWidth="1"/>
    <col min="30" max="30" width="23.57421875" style="1" hidden="1" customWidth="1"/>
    <col min="31" max="31" width="0" style="1" hidden="1" customWidth="1"/>
    <col min="32" max="33" width="23.57421875" style="1" hidden="1" customWidth="1"/>
    <col min="34" max="34" width="23.28125" style="1" hidden="1" customWidth="1"/>
    <col min="35" max="36" width="0" style="1" hidden="1" customWidth="1"/>
    <col min="37" max="16384" width="19.57421875" style="1" customWidth="1"/>
  </cols>
  <sheetData>
    <row r="1" spans="2:24" ht="30">
      <c r="B1" s="37" t="s">
        <v>40</v>
      </c>
      <c r="C1" s="27"/>
      <c r="D1" s="27"/>
      <c r="E1" s="27"/>
      <c r="F1" s="35"/>
      <c r="G1" s="35"/>
      <c r="H1" s="27" t="s">
        <v>24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6" s="2" customFormat="1" ht="30">
      <c r="B2" s="21"/>
      <c r="F2" s="21"/>
      <c r="G2" s="21"/>
      <c r="X2" s="21"/>
      <c r="Y2" s="21"/>
      <c r="Z2" s="21"/>
    </row>
    <row r="3" spans="1:29" s="5" customFormat="1" ht="369.75" customHeight="1">
      <c r="A3" s="3" t="s">
        <v>0</v>
      </c>
      <c r="B3" s="95" t="s">
        <v>41</v>
      </c>
      <c r="C3" s="95" t="s">
        <v>42</v>
      </c>
      <c r="D3" s="3" t="s">
        <v>1</v>
      </c>
      <c r="E3" s="3" t="s">
        <v>8</v>
      </c>
      <c r="F3" s="4" t="s">
        <v>2</v>
      </c>
      <c r="G3" s="4" t="s">
        <v>3</v>
      </c>
      <c r="H3" s="3" t="s">
        <v>9</v>
      </c>
      <c r="I3" s="3" t="s">
        <v>4</v>
      </c>
      <c r="J3" s="3" t="s">
        <v>6</v>
      </c>
      <c r="K3" s="3" t="s">
        <v>5</v>
      </c>
      <c r="L3" s="3" t="s">
        <v>10</v>
      </c>
      <c r="M3" s="3" t="s">
        <v>11</v>
      </c>
      <c r="N3" s="4" t="s">
        <v>12</v>
      </c>
      <c r="O3" s="95" t="s">
        <v>34</v>
      </c>
      <c r="P3" s="29" t="s">
        <v>13</v>
      </c>
      <c r="Q3" s="3" t="s">
        <v>14</v>
      </c>
      <c r="R3" s="3" t="s">
        <v>16</v>
      </c>
      <c r="S3" s="3" t="s">
        <v>15</v>
      </c>
      <c r="T3" s="3" t="s">
        <v>17</v>
      </c>
      <c r="U3" s="3" t="s">
        <v>18</v>
      </c>
      <c r="V3" s="94" t="s">
        <v>19</v>
      </c>
      <c r="W3" s="3"/>
      <c r="X3" s="4" t="s">
        <v>20</v>
      </c>
      <c r="Y3" s="4" t="s">
        <v>35</v>
      </c>
      <c r="Z3" s="4" t="s">
        <v>36</v>
      </c>
      <c r="AA3" s="3" t="s">
        <v>37</v>
      </c>
      <c r="AB3" s="3" t="s">
        <v>38</v>
      </c>
      <c r="AC3" s="3" t="s">
        <v>36</v>
      </c>
    </row>
    <row r="4" spans="1:29" s="7" customFormat="1" ht="30.75">
      <c r="A4" s="6">
        <v>1</v>
      </c>
      <c r="B4" s="96">
        <v>2</v>
      </c>
      <c r="C4" s="96">
        <v>3</v>
      </c>
      <c r="D4" s="6">
        <v>4</v>
      </c>
      <c r="E4" s="6">
        <v>5</v>
      </c>
      <c r="F4" s="22">
        <v>6</v>
      </c>
      <c r="G4" s="22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9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/>
      <c r="X4" s="22">
        <v>23</v>
      </c>
      <c r="Y4" s="86">
        <v>24</v>
      </c>
      <c r="Z4" s="86">
        <v>25</v>
      </c>
      <c r="AA4" s="6">
        <v>26</v>
      </c>
      <c r="AB4" s="6">
        <v>27</v>
      </c>
      <c r="AC4" s="6">
        <v>28</v>
      </c>
    </row>
    <row r="5" spans="1:29" s="8" customFormat="1" ht="75" customHeight="1">
      <c r="A5" s="82" t="s">
        <v>26</v>
      </c>
      <c r="B5" s="97">
        <v>2364</v>
      </c>
      <c r="C5" s="101">
        <v>9500.7</v>
      </c>
      <c r="D5" s="14">
        <f aca="true" t="shared" si="0" ref="D5:D12">C5/B5</f>
        <v>4.018908629441625</v>
      </c>
      <c r="E5" s="15">
        <f aca="true" t="shared" si="1" ref="E5:E12">D5/D$29</f>
        <v>2.275621652018997</v>
      </c>
      <c r="F5" s="85">
        <f>'[1]ИБР'!$AI$7</f>
        <v>1.1267148277794294</v>
      </c>
      <c r="G5" s="61">
        <f>E5/F5</f>
        <v>2.019696196333792</v>
      </c>
      <c r="H5" s="18"/>
      <c r="I5" s="14">
        <f>$D$29*($H$29-G5)*F5*B5+1105.9</f>
        <v>-8394.800000000001</v>
      </c>
      <c r="J5" s="18">
        <v>0.65</v>
      </c>
      <c r="K5" s="33">
        <f>I5*J5</f>
        <v>-5456.620000000001</v>
      </c>
      <c r="L5" s="14">
        <f>C5+K5</f>
        <v>4044.08</v>
      </c>
      <c r="M5" s="14">
        <f>L5/B5</f>
        <v>1.710693739424704</v>
      </c>
      <c r="N5" s="17">
        <f aca="true" t="shared" si="2" ref="N5:N12">G5+K5/(F5*B5*$M$29)</f>
        <v>-0.03234354134451278</v>
      </c>
      <c r="O5" s="101">
        <f>C5</f>
        <v>9500.7</v>
      </c>
      <c r="P5" s="63"/>
      <c r="Q5" s="23">
        <f aca="true" t="shared" si="3" ref="Q5:Q12">(O5+P5+K5)/B5</f>
        <v>1.710693739424704</v>
      </c>
      <c r="R5" s="40" t="s">
        <v>7</v>
      </c>
      <c r="S5" s="33">
        <f>Q$29*(R$29-N5)*F5*B5+119.2</f>
        <v>4975.369111500799</v>
      </c>
      <c r="T5" s="36" t="s">
        <v>7</v>
      </c>
      <c r="U5" s="105">
        <f>(T$29-K$29)*S5/S$29</f>
        <v>3334.2999724625074</v>
      </c>
      <c r="V5" s="33">
        <f>K5+U5</f>
        <v>-2122.3200275374934</v>
      </c>
      <c r="W5" s="33"/>
      <c r="X5" s="16">
        <f>G5+V5/(B5*F5*Q$29)</f>
        <v>1.5685250524159224</v>
      </c>
      <c r="Y5" s="87">
        <v>0</v>
      </c>
      <c r="Z5" s="88">
        <f>Y5-V5</f>
        <v>2122.3200275374934</v>
      </c>
      <c r="AA5" s="51"/>
      <c r="AB5" s="51"/>
      <c r="AC5" s="51"/>
    </row>
    <row r="6" spans="1:29" s="8" customFormat="1" ht="64.5" customHeight="1">
      <c r="A6" s="82" t="s">
        <v>27</v>
      </c>
      <c r="B6" s="97">
        <v>17989</v>
      </c>
      <c r="C6" s="101">
        <v>37945.2</v>
      </c>
      <c r="D6" s="14">
        <f t="shared" si="0"/>
        <v>2.109355717382845</v>
      </c>
      <c r="E6" s="15">
        <f t="shared" si="1"/>
        <v>1.194377873416191</v>
      </c>
      <c r="F6" s="85">
        <f>'[1]ИБР'!$AI$6</f>
        <v>1.0071145907194605</v>
      </c>
      <c r="G6" s="61">
        <f aca="true" t="shared" si="4" ref="G6:G12">E6/F6</f>
        <v>1.18594039290301</v>
      </c>
      <c r="H6" s="61"/>
      <c r="I6" s="48">
        <f>$D$29*($H$29-G6)*F6*B6+15994.4</f>
        <v>-21950.799999999996</v>
      </c>
      <c r="J6" s="18">
        <v>0.65</v>
      </c>
      <c r="K6" s="48">
        <f>I6*J6</f>
        <v>-14268.019999999997</v>
      </c>
      <c r="L6" s="14">
        <f aca="true" t="shared" si="5" ref="L6:L12">C6+K6</f>
        <v>23677.18</v>
      </c>
      <c r="M6" s="14">
        <f aca="true" t="shared" si="6" ref="M6:M12">L6/B6</f>
        <v>1.3162032353104676</v>
      </c>
      <c r="N6" s="17">
        <f t="shared" si="2"/>
        <v>0.39707784525355994</v>
      </c>
      <c r="O6" s="101">
        <f aca="true" t="shared" si="7" ref="O6:O12">C6</f>
        <v>37945.2</v>
      </c>
      <c r="P6" s="63"/>
      <c r="Q6" s="23">
        <f t="shared" si="3"/>
        <v>1.3162032353104676</v>
      </c>
      <c r="R6" s="40" t="s">
        <v>7</v>
      </c>
      <c r="S6" s="105">
        <f>Q$29*(R$29-N6)*F6*B6+11089.9</f>
        <v>30380.92160883701</v>
      </c>
      <c r="T6" s="36" t="s">
        <v>7</v>
      </c>
      <c r="U6" s="105">
        <f>(T$29-K$29)*S6/S$29</f>
        <v>20360.118779845543</v>
      </c>
      <c r="V6" s="33">
        <f>K6+U6</f>
        <v>6092.098779845546</v>
      </c>
      <c r="W6" s="33"/>
      <c r="X6" s="16">
        <f>G6+V6/(B6*F6*Q$29)</f>
        <v>1.3763430267163506</v>
      </c>
      <c r="Y6" s="87">
        <v>0</v>
      </c>
      <c r="Z6" s="88">
        <f>Y6-U6</f>
        <v>-20360.118779845543</v>
      </c>
      <c r="AA6" s="51"/>
      <c r="AB6" s="51"/>
      <c r="AC6" s="51"/>
    </row>
    <row r="7" spans="1:36" s="8" customFormat="1" ht="64.5" customHeight="1">
      <c r="A7" s="82" t="s">
        <v>28</v>
      </c>
      <c r="B7" s="98">
        <v>1222</v>
      </c>
      <c r="C7" s="101">
        <v>923.3</v>
      </c>
      <c r="D7" s="14">
        <f t="shared" si="0"/>
        <v>0.7555646481178395</v>
      </c>
      <c r="E7" s="15">
        <f t="shared" si="1"/>
        <v>0.42782243422039573</v>
      </c>
      <c r="F7" s="85">
        <f>'[1]ИБР'!$AI$8</f>
        <v>1.2560195362390634</v>
      </c>
      <c r="G7" s="60">
        <f t="shared" si="4"/>
        <v>0.34061765910221203</v>
      </c>
      <c r="H7" s="18"/>
      <c r="I7" s="14">
        <f>$D$29*($H$29-G7)*F7*B7+51.5</f>
        <v>-871.7999999999998</v>
      </c>
      <c r="J7" s="18">
        <v>0.65</v>
      </c>
      <c r="K7" s="14">
        <f aca="true" t="shared" si="8" ref="K7:K12">I7*J7</f>
        <v>-566.67</v>
      </c>
      <c r="L7" s="14">
        <f>C7+K7</f>
        <v>356.63</v>
      </c>
      <c r="M7" s="14">
        <f t="shared" si="6"/>
        <v>0.29184124386252047</v>
      </c>
      <c r="N7" s="17">
        <f t="shared" si="2"/>
        <v>-0.029198734411350347</v>
      </c>
      <c r="O7" s="101">
        <f t="shared" si="7"/>
        <v>923.3</v>
      </c>
      <c r="P7" s="63"/>
      <c r="Q7" s="23">
        <f t="shared" si="3"/>
        <v>0.29184124386252047</v>
      </c>
      <c r="R7" s="40" t="s">
        <v>7</v>
      </c>
      <c r="S7" s="33">
        <f aca="true" t="shared" si="9" ref="S7:S12">Q$29*(R$29-N7)*F7*B7</f>
        <v>2789.8118787694666</v>
      </c>
      <c r="T7" s="36" t="s">
        <v>7</v>
      </c>
      <c r="U7" s="33">
        <f aca="true" t="shared" si="10" ref="U7:U12">(T$29-K$29)*S7/S$29</f>
        <v>1869.624034336355</v>
      </c>
      <c r="V7" s="75">
        <f>K7+U7+556.9</f>
        <v>1859.8540343363552</v>
      </c>
      <c r="W7" s="33">
        <f>Y7+AD7</f>
        <v>2634.2740000000003</v>
      </c>
      <c r="X7" s="16">
        <f aca="true" t="shared" si="11" ref="X7:X12">G7+V7/(B7*F7*Q$29)</f>
        <v>1.0267425669842163</v>
      </c>
      <c r="Y7" s="87">
        <v>2434.974</v>
      </c>
      <c r="Z7" s="88">
        <f>V7-Y7</f>
        <v>-575.119965663645</v>
      </c>
      <c r="AA7" s="57">
        <v>1.9302</v>
      </c>
      <c r="AB7" s="59">
        <f>('2 вариант'!C7+V7)/1613</f>
        <v>1.7254519741700898</v>
      </c>
      <c r="AC7" s="58">
        <f>AB7-AA7</f>
        <v>-0.20474802582991014</v>
      </c>
      <c r="AD7" s="72">
        <v>199.3</v>
      </c>
      <c r="AE7" s="73">
        <f>Y7-AD7</f>
        <v>2235.674</v>
      </c>
      <c r="AF7" s="74">
        <f>V7/AE7*100</f>
        <v>83.18985837543198</v>
      </c>
      <c r="AG7" s="76">
        <f>W7/Y7*100</f>
        <v>108.18489232328558</v>
      </c>
      <c r="AH7" s="73">
        <f>Y7*1.03</f>
        <v>2508.02322</v>
      </c>
      <c r="AI7" s="73">
        <f>AH7-Y7</f>
        <v>73.04921999999988</v>
      </c>
      <c r="AJ7" s="93">
        <f>AH7-V7</f>
        <v>648.1691856636448</v>
      </c>
    </row>
    <row r="8" spans="1:36" s="8" customFormat="1" ht="55.5">
      <c r="A8" s="82" t="s">
        <v>29</v>
      </c>
      <c r="B8" s="98">
        <v>1535</v>
      </c>
      <c r="C8" s="101">
        <v>895.7</v>
      </c>
      <c r="D8" s="14">
        <f t="shared" si="0"/>
        <v>0.5835179153094463</v>
      </c>
      <c r="E8" s="15">
        <f t="shared" si="1"/>
        <v>0.3304046259453411</v>
      </c>
      <c r="F8" s="85">
        <f>'[1]ИБР'!$AI$9</f>
        <v>1.2014701245718156</v>
      </c>
      <c r="G8" s="60">
        <f t="shared" si="4"/>
        <v>0.2750002843916672</v>
      </c>
      <c r="H8" s="18"/>
      <c r="I8" s="14">
        <f>$D$29*($H$29-G8)*F8*B8+221.4</f>
        <v>-674.3000000000001</v>
      </c>
      <c r="J8" s="18">
        <v>0.65</v>
      </c>
      <c r="K8" s="14">
        <f t="shared" si="8"/>
        <v>-438.2950000000001</v>
      </c>
      <c r="L8" s="14">
        <f t="shared" si="5"/>
        <v>457.405</v>
      </c>
      <c r="M8" s="14">
        <f t="shared" si="6"/>
        <v>0.29798371335504886</v>
      </c>
      <c r="N8" s="17">
        <f t="shared" si="2"/>
        <v>0.036950003442174</v>
      </c>
      <c r="O8" s="101">
        <f t="shared" si="7"/>
        <v>895.7</v>
      </c>
      <c r="P8" s="63"/>
      <c r="Q8" s="23">
        <f t="shared" si="3"/>
        <v>0.29798371335504886</v>
      </c>
      <c r="R8" s="40" t="s">
        <v>7</v>
      </c>
      <c r="S8" s="33">
        <f t="shared" si="9"/>
        <v>3136.7381449260147</v>
      </c>
      <c r="T8" s="36" t="s">
        <v>7</v>
      </c>
      <c r="U8" s="33">
        <f t="shared" si="10"/>
        <v>2102.1206016801534</v>
      </c>
      <c r="V8" s="75">
        <f>K8+U8+22.7</f>
        <v>1686.5256016801534</v>
      </c>
      <c r="W8" s="33">
        <f>Y8+AD8</f>
        <v>2600.317</v>
      </c>
      <c r="X8" s="16">
        <f t="shared" si="11"/>
        <v>0.7928020261532724</v>
      </c>
      <c r="Y8" s="87">
        <v>2336.817</v>
      </c>
      <c r="Z8" s="88">
        <f>V8-Y8</f>
        <v>-650.2913983198466</v>
      </c>
      <c r="AA8" s="57">
        <v>1.79068</v>
      </c>
      <c r="AB8" s="59">
        <f>('2 вариант'!C8+V8)/1856</f>
        <v>1.3912853457328413</v>
      </c>
      <c r="AC8" s="58">
        <f>AB8-AA8</f>
        <v>-0.3993946542671587</v>
      </c>
      <c r="AD8" s="72">
        <v>263.5</v>
      </c>
      <c r="AE8" s="73">
        <f>Y8-AD8</f>
        <v>2073.317</v>
      </c>
      <c r="AF8" s="74">
        <f>V8/AE8*100</f>
        <v>81.34431935300552</v>
      </c>
      <c r="AG8" s="76">
        <f>W8/Y8*100</f>
        <v>111.27602204194851</v>
      </c>
      <c r="AH8" s="73">
        <f aca="true" t="shared" si="12" ref="AH8:AH29">Y8*1.03</f>
        <v>2406.92151</v>
      </c>
      <c r="AI8" s="73">
        <f>AH8-Y8</f>
        <v>70.10451000000012</v>
      </c>
      <c r="AJ8" s="93">
        <f aca="true" t="shared" si="13" ref="AJ8:AJ29">AH8-V8</f>
        <v>720.3959083198467</v>
      </c>
    </row>
    <row r="9" spans="1:36" s="8" customFormat="1" ht="55.5">
      <c r="A9" s="82" t="s">
        <v>30</v>
      </c>
      <c r="B9" s="98">
        <v>3171</v>
      </c>
      <c r="C9" s="101">
        <v>1630.1</v>
      </c>
      <c r="D9" s="14">
        <f t="shared" si="0"/>
        <v>0.5140649637338379</v>
      </c>
      <c r="E9" s="15">
        <f t="shared" si="1"/>
        <v>0.2910783672580317</v>
      </c>
      <c r="F9" s="85">
        <f>'[1]ИБР'!$AI$10</f>
        <v>1.0918679099322444</v>
      </c>
      <c r="G9" s="60">
        <f t="shared" si="4"/>
        <v>0.2665875282259138</v>
      </c>
      <c r="H9" s="61"/>
      <c r="I9" s="14">
        <f>$D$29*($H$29-G9)*F9*B9+259.8</f>
        <v>-1370.3000000000002</v>
      </c>
      <c r="J9" s="18">
        <v>0.65</v>
      </c>
      <c r="K9" s="14">
        <f t="shared" si="8"/>
        <v>-890.6950000000002</v>
      </c>
      <c r="L9" s="14">
        <f t="shared" si="5"/>
        <v>739.4049999999997</v>
      </c>
      <c r="M9" s="14">
        <f t="shared" si="6"/>
        <v>0.23317723115736352</v>
      </c>
      <c r="N9" s="17">
        <f t="shared" si="2"/>
        <v>0.008904267034437696</v>
      </c>
      <c r="O9" s="101">
        <f t="shared" si="7"/>
        <v>1630.1</v>
      </c>
      <c r="P9" s="63"/>
      <c r="Q9" s="23">
        <f t="shared" si="3"/>
        <v>0.23317723115736352</v>
      </c>
      <c r="R9" s="40" t="s">
        <v>7</v>
      </c>
      <c r="S9" s="33">
        <f t="shared" si="9"/>
        <v>6060.242821779984</v>
      </c>
      <c r="T9" s="36" t="s">
        <v>7</v>
      </c>
      <c r="U9" s="33">
        <f t="shared" si="10"/>
        <v>4061.3403791627143</v>
      </c>
      <c r="V9" s="75">
        <f>K9+U9-1701.4</f>
        <v>1469.245379162714</v>
      </c>
      <c r="W9" s="33">
        <f>Y9+AD9</f>
        <v>3192.2250000000004</v>
      </c>
      <c r="X9" s="16">
        <f t="shared" si="11"/>
        <v>0.5068687956256644</v>
      </c>
      <c r="Y9" s="87">
        <v>2649.025</v>
      </c>
      <c r="Z9" s="88">
        <f>V9-Y9</f>
        <v>-1179.779620837286</v>
      </c>
      <c r="AA9" s="57">
        <v>1.45038</v>
      </c>
      <c r="AB9" s="59">
        <f>('2 вариант'!C9+V9)/3392</f>
        <v>0.9137221047059888</v>
      </c>
      <c r="AC9" s="58">
        <f>AB9-AA9</f>
        <v>-0.5366578952940112</v>
      </c>
      <c r="AD9" s="72">
        <v>543.2</v>
      </c>
      <c r="AE9" s="73">
        <f>Y9-AD9</f>
        <v>2105.825</v>
      </c>
      <c r="AF9" s="74">
        <f>V9/AE9*100</f>
        <v>69.77053549856774</v>
      </c>
      <c r="AG9" s="76">
        <f>W9/Y9*100</f>
        <v>120.50565774199941</v>
      </c>
      <c r="AH9" s="73">
        <f t="shared" si="12"/>
        <v>2728.49575</v>
      </c>
      <c r="AI9" s="73">
        <f>AH9-Y9</f>
        <v>79.47074999999995</v>
      </c>
      <c r="AJ9" s="93">
        <f t="shared" si="13"/>
        <v>1259.250370837286</v>
      </c>
    </row>
    <row r="10" spans="1:36" s="8" customFormat="1" ht="55.5">
      <c r="A10" s="82" t="s">
        <v>31</v>
      </c>
      <c r="B10" s="98">
        <v>426</v>
      </c>
      <c r="C10" s="101">
        <v>270.8</v>
      </c>
      <c r="D10" s="14">
        <f t="shared" si="0"/>
        <v>0.6356807511737089</v>
      </c>
      <c r="E10" s="15">
        <f t="shared" si="1"/>
        <v>0.35994072384362086</v>
      </c>
      <c r="F10" s="85">
        <f>'[1]ИБР'!$AI$11</f>
        <v>1.7533090295285165</v>
      </c>
      <c r="G10" s="60">
        <f t="shared" si="4"/>
        <v>0.205292231877921</v>
      </c>
      <c r="H10" s="61"/>
      <c r="I10" s="14">
        <f>$D$29*($H$29-G10)*F10*B10</f>
        <v>-270.8</v>
      </c>
      <c r="J10" s="18">
        <v>0.65</v>
      </c>
      <c r="K10" s="14">
        <f t="shared" si="8"/>
        <v>-176.02</v>
      </c>
      <c r="L10" s="14">
        <f t="shared" si="5"/>
        <v>94.78</v>
      </c>
      <c r="M10" s="14">
        <f t="shared" si="6"/>
        <v>0.22248826291079812</v>
      </c>
      <c r="N10" s="17">
        <f t="shared" si="2"/>
        <v>-0.030765095743777254</v>
      </c>
      <c r="O10" s="101">
        <f t="shared" si="7"/>
        <v>270.8</v>
      </c>
      <c r="P10" s="63"/>
      <c r="Q10" s="23">
        <f t="shared" si="3"/>
        <v>0.22248826291079812</v>
      </c>
      <c r="R10" s="40" t="s">
        <v>7</v>
      </c>
      <c r="S10" s="33">
        <f t="shared" si="9"/>
        <v>1359.6773018347958</v>
      </c>
      <c r="T10" s="36" t="s">
        <v>7</v>
      </c>
      <c r="U10" s="33">
        <f t="shared" si="10"/>
        <v>911.2031466341044</v>
      </c>
      <c r="V10" s="75">
        <f>K10+U10+307.6</f>
        <v>1042.7831466341045</v>
      </c>
      <c r="W10" s="33">
        <f>Y10+AD10</f>
        <v>1455.75</v>
      </c>
      <c r="X10" s="16">
        <f t="shared" si="11"/>
        <v>0.995821329134925</v>
      </c>
      <c r="Y10" s="87">
        <v>1308.65</v>
      </c>
      <c r="Z10" s="88">
        <f>V10-Y10</f>
        <v>-265.8668533658956</v>
      </c>
      <c r="AA10" s="57">
        <v>2.09743</v>
      </c>
      <c r="AB10" s="59">
        <f>('2 вариант'!C10+V10)/534</f>
        <v>2.4598935330226674</v>
      </c>
      <c r="AC10" s="58">
        <f>AB10-AA10</f>
        <v>0.3624635330226673</v>
      </c>
      <c r="AD10" s="72">
        <v>147.1</v>
      </c>
      <c r="AE10" s="73">
        <f>Y10-AD10</f>
        <v>1161.5500000000002</v>
      </c>
      <c r="AF10" s="74">
        <f>V10/AE10*100</f>
        <v>89.77514068564454</v>
      </c>
      <c r="AG10" s="76">
        <f>W10/Y10*100</f>
        <v>111.24059144920338</v>
      </c>
      <c r="AH10" s="73">
        <f t="shared" si="12"/>
        <v>1347.9095000000002</v>
      </c>
      <c r="AI10" s="73">
        <f>AH10-Y10</f>
        <v>39.259500000000116</v>
      </c>
      <c r="AJ10" s="93">
        <f t="shared" si="13"/>
        <v>305.12635336589574</v>
      </c>
    </row>
    <row r="11" spans="1:36" s="8" customFormat="1" ht="55.5">
      <c r="A11" s="82" t="s">
        <v>32</v>
      </c>
      <c r="B11" s="98">
        <v>1956</v>
      </c>
      <c r="C11" s="101">
        <v>1362.9</v>
      </c>
      <c r="D11" s="14">
        <f t="shared" si="0"/>
        <v>0.6967791411042945</v>
      </c>
      <c r="E11" s="15">
        <f t="shared" si="1"/>
        <v>0.3945363894457168</v>
      </c>
      <c r="F11" s="85">
        <f>'[1]ИБР'!$AI$12</f>
        <v>1.1556441972793263</v>
      </c>
      <c r="G11" s="60">
        <f t="shared" si="4"/>
        <v>0.341399533156099</v>
      </c>
      <c r="H11" s="61"/>
      <c r="I11" s="14">
        <f>$D$29*($H$29-G11)*F11*B11</f>
        <v>-1362.9</v>
      </c>
      <c r="J11" s="18">
        <v>0.65</v>
      </c>
      <c r="K11" s="14">
        <f t="shared" si="8"/>
        <v>-885.8850000000001</v>
      </c>
      <c r="L11" s="14">
        <f t="shared" si="5"/>
        <v>477.015</v>
      </c>
      <c r="M11" s="14">
        <f t="shared" si="6"/>
        <v>0.24387269938650305</v>
      </c>
      <c r="N11" s="17">
        <f t="shared" si="2"/>
        <v>-0.05116213715613965</v>
      </c>
      <c r="O11" s="101">
        <f t="shared" si="7"/>
        <v>1362.9</v>
      </c>
      <c r="P11" s="63"/>
      <c r="Q11" s="23">
        <f t="shared" si="3"/>
        <v>0.24387269938650305</v>
      </c>
      <c r="R11" s="40" t="s">
        <v>7</v>
      </c>
      <c r="S11" s="33">
        <f t="shared" si="9"/>
        <v>4196.341053797101</v>
      </c>
      <c r="T11" s="36" t="s">
        <v>7</v>
      </c>
      <c r="U11" s="33">
        <f t="shared" si="10"/>
        <v>2812.2254945419277</v>
      </c>
      <c r="V11" s="75">
        <f>K11+U11+189.7</f>
        <v>2116.0404945419273</v>
      </c>
      <c r="W11" s="33">
        <f>Y11+AD11</f>
        <v>2998.323</v>
      </c>
      <c r="X11" s="16">
        <f t="shared" si="11"/>
        <v>0.8714569379370916</v>
      </c>
      <c r="Y11" s="87">
        <v>2455.823</v>
      </c>
      <c r="Z11" s="88">
        <f>V11-Y11</f>
        <v>-339.7825054580726</v>
      </c>
      <c r="AA11" s="57">
        <v>1.67258</v>
      </c>
      <c r="AB11" s="59">
        <f>('2 вариант'!C11)/2193</f>
        <v>0.6214774281805746</v>
      </c>
      <c r="AC11" s="58">
        <f>AB11-AA11</f>
        <v>-1.0511025718194253</v>
      </c>
      <c r="AD11" s="72">
        <v>542.5</v>
      </c>
      <c r="AE11" s="73">
        <f>Y11-AD11</f>
        <v>1913.3229999999999</v>
      </c>
      <c r="AF11" s="74">
        <f>V11/AE11*100</f>
        <v>110.59504822457723</v>
      </c>
      <c r="AG11" s="76">
        <f>W11/Y11*100</f>
        <v>122.09035423155497</v>
      </c>
      <c r="AH11" s="73">
        <f t="shared" si="12"/>
        <v>2529.49769</v>
      </c>
      <c r="AI11" s="73">
        <f>AH11-Y11</f>
        <v>73.67469000000028</v>
      </c>
      <c r="AJ11" s="93">
        <f t="shared" si="13"/>
        <v>413.4571954580729</v>
      </c>
    </row>
    <row r="12" spans="1:36" s="8" customFormat="1" ht="55.5">
      <c r="A12" s="82" t="s">
        <v>33</v>
      </c>
      <c r="B12" s="98">
        <v>1482</v>
      </c>
      <c r="C12" s="101">
        <v>709.5</v>
      </c>
      <c r="D12" s="14">
        <f t="shared" si="0"/>
        <v>0.47874493927125505</v>
      </c>
      <c r="E12" s="15">
        <f t="shared" si="1"/>
        <v>0.27107915358393003</v>
      </c>
      <c r="F12" s="85">
        <f>'[1]ИБР'!$AI$13</f>
        <v>1.2093287745046664</v>
      </c>
      <c r="G12" s="60">
        <f t="shared" si="4"/>
        <v>0.22415670518958947</v>
      </c>
      <c r="H12" s="61"/>
      <c r="I12" s="14">
        <f>$D$29*($H$29-G12)*F12*B12</f>
        <v>-709.5</v>
      </c>
      <c r="J12" s="18">
        <v>0.65</v>
      </c>
      <c r="K12" s="14">
        <f t="shared" si="8"/>
        <v>-461.175</v>
      </c>
      <c r="L12" s="14">
        <f t="shared" si="5"/>
        <v>248.325</v>
      </c>
      <c r="M12" s="14">
        <f t="shared" si="6"/>
        <v>0.16756072874493927</v>
      </c>
      <c r="N12" s="17">
        <f t="shared" si="2"/>
        <v>-0.033592125886518054</v>
      </c>
      <c r="O12" s="101">
        <f t="shared" si="7"/>
        <v>709.5</v>
      </c>
      <c r="P12" s="63"/>
      <c r="Q12" s="23">
        <f t="shared" si="3"/>
        <v>0.16756072874493927</v>
      </c>
      <c r="R12" s="40" t="s">
        <v>7</v>
      </c>
      <c r="S12" s="33">
        <f t="shared" si="9"/>
        <v>3271.522092976155</v>
      </c>
      <c r="T12" s="36" t="s">
        <v>7</v>
      </c>
      <c r="U12" s="33">
        <f t="shared" si="10"/>
        <v>2192.447591336687</v>
      </c>
      <c r="V12" s="75">
        <f>K12+U12+649.9-25.4</f>
        <v>2355.7725913366867</v>
      </c>
      <c r="W12" s="33">
        <f>Y12+AD12</f>
        <v>3068.142</v>
      </c>
      <c r="X12" s="16">
        <f t="shared" si="11"/>
        <v>0.9684304504326804</v>
      </c>
      <c r="Y12" s="87">
        <v>2916.942</v>
      </c>
      <c r="Z12" s="88">
        <f>V12-Y12</f>
        <v>-561.1694086633133</v>
      </c>
      <c r="AA12" s="57">
        <v>1.74986</v>
      </c>
      <c r="AB12" s="59">
        <f>('2 вариант'!C12+V12)/1819</f>
        <v>1.6851416115099982</v>
      </c>
      <c r="AC12" s="58">
        <f>AB12-AA12</f>
        <v>-0.06471838849000178</v>
      </c>
      <c r="AD12" s="72">
        <v>151.2</v>
      </c>
      <c r="AE12" s="73">
        <f>Y12-AD12</f>
        <v>2765.742</v>
      </c>
      <c r="AF12" s="74">
        <f>V12/AE12*100</f>
        <v>85.17687446394807</v>
      </c>
      <c r="AG12" s="76">
        <f>W12/Y12*100</f>
        <v>105.18351067659214</v>
      </c>
      <c r="AH12" s="73">
        <f t="shared" si="12"/>
        <v>3004.45026</v>
      </c>
      <c r="AI12" s="73">
        <f>AH12-Y12</f>
        <v>87.50826000000006</v>
      </c>
      <c r="AJ12" s="93">
        <f t="shared" si="13"/>
        <v>648.6776686633134</v>
      </c>
    </row>
    <row r="13" spans="1:36" s="8" customFormat="1" ht="26.25" hidden="1">
      <c r="A13" s="83"/>
      <c r="B13" s="99"/>
      <c r="C13" s="101"/>
      <c r="D13" s="14"/>
      <c r="E13" s="15"/>
      <c r="F13" s="63"/>
      <c r="G13" s="16"/>
      <c r="H13" s="18"/>
      <c r="I13" s="14"/>
      <c r="J13" s="18"/>
      <c r="K13" s="14"/>
      <c r="L13" s="14"/>
      <c r="M13" s="14"/>
      <c r="N13" s="17"/>
      <c r="O13" s="103"/>
      <c r="P13" s="62"/>
      <c r="Q13" s="23"/>
      <c r="R13" s="40" t="s">
        <v>7</v>
      </c>
      <c r="S13" s="33"/>
      <c r="T13" s="36" t="s">
        <v>7</v>
      </c>
      <c r="U13" s="33"/>
      <c r="V13" s="33"/>
      <c r="W13" s="33"/>
      <c r="X13" s="16"/>
      <c r="Y13" s="89"/>
      <c r="Z13" s="89"/>
      <c r="AA13" s="51"/>
      <c r="AB13" s="51"/>
      <c r="AC13" s="51"/>
      <c r="AH13" s="73">
        <f t="shared" si="12"/>
        <v>0</v>
      </c>
      <c r="AJ13" s="93">
        <f t="shared" si="13"/>
        <v>0</v>
      </c>
    </row>
    <row r="14" spans="1:36" s="8" customFormat="1" ht="26.25" hidden="1">
      <c r="A14" s="83"/>
      <c r="B14" s="99"/>
      <c r="C14" s="101"/>
      <c r="D14" s="14"/>
      <c r="E14" s="15"/>
      <c r="F14" s="63"/>
      <c r="G14" s="16"/>
      <c r="H14" s="18"/>
      <c r="I14" s="14"/>
      <c r="J14" s="18"/>
      <c r="K14" s="14"/>
      <c r="L14" s="14"/>
      <c r="M14" s="14"/>
      <c r="N14" s="17"/>
      <c r="O14" s="103"/>
      <c r="P14" s="62"/>
      <c r="Q14" s="23"/>
      <c r="R14" s="40" t="s">
        <v>7</v>
      </c>
      <c r="S14" s="33"/>
      <c r="T14" s="36" t="s">
        <v>7</v>
      </c>
      <c r="U14" s="33"/>
      <c r="V14" s="33"/>
      <c r="W14" s="33"/>
      <c r="X14" s="16"/>
      <c r="Y14" s="89"/>
      <c r="Z14" s="89"/>
      <c r="AA14" s="51"/>
      <c r="AB14" s="51"/>
      <c r="AC14" s="51"/>
      <c r="AH14" s="73">
        <f t="shared" si="12"/>
        <v>0</v>
      </c>
      <c r="AJ14" s="93">
        <f t="shared" si="13"/>
        <v>0</v>
      </c>
    </row>
    <row r="15" spans="1:36" s="8" customFormat="1" ht="26.25" hidden="1">
      <c r="A15" s="83"/>
      <c r="B15" s="99"/>
      <c r="C15" s="101"/>
      <c r="D15" s="14"/>
      <c r="E15" s="15"/>
      <c r="F15" s="63"/>
      <c r="G15" s="16"/>
      <c r="H15" s="18"/>
      <c r="I15" s="14"/>
      <c r="J15" s="18"/>
      <c r="K15" s="14"/>
      <c r="L15" s="14"/>
      <c r="M15" s="14"/>
      <c r="N15" s="17"/>
      <c r="O15" s="103"/>
      <c r="P15" s="62"/>
      <c r="Q15" s="23"/>
      <c r="R15" s="40" t="s">
        <v>7</v>
      </c>
      <c r="S15" s="33"/>
      <c r="T15" s="36" t="s">
        <v>7</v>
      </c>
      <c r="U15" s="33"/>
      <c r="V15" s="33"/>
      <c r="W15" s="33"/>
      <c r="X15" s="16"/>
      <c r="Y15" s="89"/>
      <c r="Z15" s="89"/>
      <c r="AA15" s="51"/>
      <c r="AB15" s="51"/>
      <c r="AC15" s="51"/>
      <c r="AH15" s="73">
        <f t="shared" si="12"/>
        <v>0</v>
      </c>
      <c r="AJ15" s="93">
        <f t="shared" si="13"/>
        <v>0</v>
      </c>
    </row>
    <row r="16" spans="1:36" s="8" customFormat="1" ht="26.25" hidden="1">
      <c r="A16" s="83"/>
      <c r="B16" s="99"/>
      <c r="C16" s="101"/>
      <c r="D16" s="14"/>
      <c r="E16" s="15"/>
      <c r="F16" s="63"/>
      <c r="G16" s="16"/>
      <c r="H16" s="18"/>
      <c r="I16" s="14"/>
      <c r="J16" s="18"/>
      <c r="K16" s="14"/>
      <c r="L16" s="14"/>
      <c r="M16" s="14"/>
      <c r="N16" s="17"/>
      <c r="O16" s="103"/>
      <c r="P16" s="62"/>
      <c r="Q16" s="23"/>
      <c r="R16" s="40" t="s">
        <v>7</v>
      </c>
      <c r="S16" s="33"/>
      <c r="T16" s="36" t="s">
        <v>7</v>
      </c>
      <c r="U16" s="33"/>
      <c r="V16" s="33"/>
      <c r="W16" s="33"/>
      <c r="X16" s="16"/>
      <c r="Y16" s="89"/>
      <c r="Z16" s="89"/>
      <c r="AA16" s="51"/>
      <c r="AB16" s="51"/>
      <c r="AC16" s="51"/>
      <c r="AH16" s="73">
        <f t="shared" si="12"/>
        <v>0</v>
      </c>
      <c r="AJ16" s="93">
        <f t="shared" si="13"/>
        <v>0</v>
      </c>
    </row>
    <row r="17" spans="1:36" s="8" customFormat="1" ht="26.25" hidden="1">
      <c r="A17" s="83"/>
      <c r="B17" s="99"/>
      <c r="C17" s="101"/>
      <c r="D17" s="14"/>
      <c r="E17" s="15"/>
      <c r="F17" s="63"/>
      <c r="G17" s="16"/>
      <c r="H17" s="18"/>
      <c r="I17" s="14"/>
      <c r="J17" s="18"/>
      <c r="K17" s="14"/>
      <c r="L17" s="14"/>
      <c r="M17" s="14"/>
      <c r="N17" s="17"/>
      <c r="O17" s="103"/>
      <c r="P17" s="62"/>
      <c r="Q17" s="23"/>
      <c r="R17" s="40" t="s">
        <v>7</v>
      </c>
      <c r="S17" s="33"/>
      <c r="T17" s="36" t="s">
        <v>7</v>
      </c>
      <c r="U17" s="33"/>
      <c r="V17" s="33"/>
      <c r="W17" s="33"/>
      <c r="X17" s="16"/>
      <c r="Y17" s="89"/>
      <c r="Z17" s="89"/>
      <c r="AA17" s="51"/>
      <c r="AB17" s="51"/>
      <c r="AC17" s="51"/>
      <c r="AH17" s="73">
        <f t="shared" si="12"/>
        <v>0</v>
      </c>
      <c r="AJ17" s="93">
        <f t="shared" si="13"/>
        <v>0</v>
      </c>
    </row>
    <row r="18" spans="1:36" s="8" customFormat="1" ht="26.25" hidden="1">
      <c r="A18" s="83"/>
      <c r="B18" s="99"/>
      <c r="C18" s="101"/>
      <c r="D18" s="14"/>
      <c r="E18" s="15"/>
      <c r="F18" s="63"/>
      <c r="G18" s="16"/>
      <c r="H18" s="18"/>
      <c r="I18" s="14"/>
      <c r="J18" s="18"/>
      <c r="K18" s="14"/>
      <c r="L18" s="14"/>
      <c r="M18" s="14"/>
      <c r="N18" s="17"/>
      <c r="O18" s="103"/>
      <c r="P18" s="62"/>
      <c r="Q18" s="23"/>
      <c r="R18" s="40" t="s">
        <v>7</v>
      </c>
      <c r="S18" s="33"/>
      <c r="T18" s="36" t="s">
        <v>7</v>
      </c>
      <c r="U18" s="33"/>
      <c r="V18" s="33"/>
      <c r="W18" s="33"/>
      <c r="X18" s="16"/>
      <c r="Y18" s="89"/>
      <c r="Z18" s="89"/>
      <c r="AA18" s="51"/>
      <c r="AB18" s="51"/>
      <c r="AC18" s="51"/>
      <c r="AH18" s="73">
        <f t="shared" si="12"/>
        <v>0</v>
      </c>
      <c r="AJ18" s="93">
        <f t="shared" si="13"/>
        <v>0</v>
      </c>
    </row>
    <row r="19" spans="1:36" s="8" customFormat="1" ht="26.25" hidden="1">
      <c r="A19" s="83"/>
      <c r="B19" s="99"/>
      <c r="C19" s="101"/>
      <c r="D19" s="14"/>
      <c r="E19" s="15"/>
      <c r="F19" s="63"/>
      <c r="G19" s="16"/>
      <c r="H19" s="18"/>
      <c r="I19" s="14"/>
      <c r="J19" s="18"/>
      <c r="K19" s="14"/>
      <c r="L19" s="14"/>
      <c r="M19" s="14"/>
      <c r="N19" s="17"/>
      <c r="O19" s="103"/>
      <c r="P19" s="62"/>
      <c r="Q19" s="23"/>
      <c r="R19" s="40" t="s">
        <v>7</v>
      </c>
      <c r="S19" s="33"/>
      <c r="T19" s="36" t="s">
        <v>7</v>
      </c>
      <c r="U19" s="33"/>
      <c r="V19" s="33"/>
      <c r="W19" s="33"/>
      <c r="X19" s="16"/>
      <c r="Y19" s="89"/>
      <c r="Z19" s="89"/>
      <c r="AA19" s="51"/>
      <c r="AB19" s="51"/>
      <c r="AC19" s="51"/>
      <c r="AH19" s="73">
        <f t="shared" si="12"/>
        <v>0</v>
      </c>
      <c r="AJ19" s="93">
        <f t="shared" si="13"/>
        <v>0</v>
      </c>
    </row>
    <row r="20" spans="1:36" s="8" customFormat="1" ht="26.25" hidden="1">
      <c r="A20" s="83"/>
      <c r="B20" s="99"/>
      <c r="C20" s="101"/>
      <c r="D20" s="14"/>
      <c r="E20" s="15"/>
      <c r="F20" s="63"/>
      <c r="G20" s="16"/>
      <c r="H20" s="18"/>
      <c r="I20" s="14"/>
      <c r="J20" s="18"/>
      <c r="K20" s="14"/>
      <c r="L20" s="14"/>
      <c r="M20" s="14"/>
      <c r="N20" s="17"/>
      <c r="O20" s="103"/>
      <c r="P20" s="62"/>
      <c r="Q20" s="23"/>
      <c r="R20" s="40" t="s">
        <v>7</v>
      </c>
      <c r="S20" s="33"/>
      <c r="T20" s="36" t="s">
        <v>7</v>
      </c>
      <c r="U20" s="33"/>
      <c r="V20" s="33"/>
      <c r="W20" s="33"/>
      <c r="X20" s="16"/>
      <c r="Y20" s="89"/>
      <c r="Z20" s="89"/>
      <c r="AA20" s="51"/>
      <c r="AB20" s="51"/>
      <c r="AC20" s="51"/>
      <c r="AH20" s="73">
        <f t="shared" si="12"/>
        <v>0</v>
      </c>
      <c r="AJ20" s="93">
        <f t="shared" si="13"/>
        <v>0</v>
      </c>
    </row>
    <row r="21" spans="1:36" s="8" customFormat="1" ht="26.25" hidden="1">
      <c r="A21" s="83"/>
      <c r="B21" s="99"/>
      <c r="C21" s="101"/>
      <c r="D21" s="14"/>
      <c r="E21" s="15"/>
      <c r="F21" s="63"/>
      <c r="G21" s="16"/>
      <c r="H21" s="18"/>
      <c r="I21" s="14"/>
      <c r="J21" s="18"/>
      <c r="K21" s="14"/>
      <c r="L21" s="14"/>
      <c r="M21" s="14"/>
      <c r="N21" s="17"/>
      <c r="O21" s="103"/>
      <c r="P21" s="62"/>
      <c r="Q21" s="23"/>
      <c r="R21" s="40" t="s">
        <v>7</v>
      </c>
      <c r="S21" s="33"/>
      <c r="T21" s="36" t="s">
        <v>7</v>
      </c>
      <c r="U21" s="33"/>
      <c r="V21" s="33"/>
      <c r="W21" s="33"/>
      <c r="X21" s="16"/>
      <c r="Y21" s="89"/>
      <c r="Z21" s="89"/>
      <c r="AA21" s="51"/>
      <c r="AB21" s="51"/>
      <c r="AC21" s="51"/>
      <c r="AH21" s="73">
        <f t="shared" si="12"/>
        <v>0</v>
      </c>
      <c r="AJ21" s="93">
        <f t="shared" si="13"/>
        <v>0</v>
      </c>
    </row>
    <row r="22" spans="1:36" s="8" customFormat="1" ht="26.25" hidden="1">
      <c r="A22" s="83"/>
      <c r="B22" s="99"/>
      <c r="C22" s="101"/>
      <c r="D22" s="14"/>
      <c r="E22" s="15"/>
      <c r="F22" s="63"/>
      <c r="G22" s="16"/>
      <c r="H22" s="18"/>
      <c r="I22" s="14"/>
      <c r="J22" s="18"/>
      <c r="K22" s="14"/>
      <c r="L22" s="14"/>
      <c r="M22" s="14"/>
      <c r="N22" s="17"/>
      <c r="O22" s="103"/>
      <c r="P22" s="62"/>
      <c r="Q22" s="23"/>
      <c r="R22" s="40" t="s">
        <v>7</v>
      </c>
      <c r="S22" s="33"/>
      <c r="T22" s="36" t="s">
        <v>7</v>
      </c>
      <c r="U22" s="33"/>
      <c r="V22" s="33"/>
      <c r="W22" s="33"/>
      <c r="X22" s="16"/>
      <c r="Y22" s="89"/>
      <c r="Z22" s="89"/>
      <c r="AA22" s="51"/>
      <c r="AB22" s="51"/>
      <c r="AC22" s="51"/>
      <c r="AH22" s="73">
        <f t="shared" si="12"/>
        <v>0</v>
      </c>
      <c r="AJ22" s="93">
        <f t="shared" si="13"/>
        <v>0</v>
      </c>
    </row>
    <row r="23" spans="1:36" s="8" customFormat="1" ht="26.25" hidden="1">
      <c r="A23" s="83"/>
      <c r="B23" s="99"/>
      <c r="C23" s="101"/>
      <c r="D23" s="14"/>
      <c r="E23" s="15"/>
      <c r="F23" s="63"/>
      <c r="G23" s="16"/>
      <c r="H23" s="18"/>
      <c r="I23" s="14"/>
      <c r="J23" s="18"/>
      <c r="K23" s="14"/>
      <c r="L23" s="14"/>
      <c r="M23" s="14"/>
      <c r="N23" s="17"/>
      <c r="O23" s="103"/>
      <c r="P23" s="62"/>
      <c r="Q23" s="23"/>
      <c r="R23" s="40" t="s">
        <v>7</v>
      </c>
      <c r="S23" s="33"/>
      <c r="T23" s="36" t="s">
        <v>7</v>
      </c>
      <c r="U23" s="33"/>
      <c r="V23" s="33"/>
      <c r="W23" s="33"/>
      <c r="X23" s="16"/>
      <c r="Y23" s="89"/>
      <c r="Z23" s="89"/>
      <c r="AA23" s="51"/>
      <c r="AB23" s="51"/>
      <c r="AC23" s="51"/>
      <c r="AH23" s="73">
        <f t="shared" si="12"/>
        <v>0</v>
      </c>
      <c r="AJ23" s="93">
        <f t="shared" si="13"/>
        <v>0</v>
      </c>
    </row>
    <row r="24" spans="1:36" s="8" customFormat="1" ht="26.25" hidden="1">
      <c r="A24" s="83"/>
      <c r="B24" s="99"/>
      <c r="C24" s="101"/>
      <c r="D24" s="14"/>
      <c r="E24" s="15"/>
      <c r="F24" s="63"/>
      <c r="G24" s="16"/>
      <c r="H24" s="18"/>
      <c r="I24" s="14"/>
      <c r="J24" s="18"/>
      <c r="K24" s="14"/>
      <c r="L24" s="14"/>
      <c r="M24" s="14"/>
      <c r="N24" s="17"/>
      <c r="O24" s="103"/>
      <c r="P24" s="62"/>
      <c r="Q24" s="23"/>
      <c r="R24" s="40" t="s">
        <v>7</v>
      </c>
      <c r="S24" s="33"/>
      <c r="T24" s="36" t="s">
        <v>7</v>
      </c>
      <c r="U24" s="33"/>
      <c r="V24" s="33"/>
      <c r="W24" s="33"/>
      <c r="X24" s="16"/>
      <c r="Y24" s="89"/>
      <c r="Z24" s="89"/>
      <c r="AA24" s="51"/>
      <c r="AB24" s="51"/>
      <c r="AC24" s="51"/>
      <c r="AH24" s="73">
        <f t="shared" si="12"/>
        <v>0</v>
      </c>
      <c r="AJ24" s="93">
        <f t="shared" si="13"/>
        <v>0</v>
      </c>
    </row>
    <row r="25" spans="1:36" s="8" customFormat="1" ht="26.25" hidden="1">
      <c r="A25" s="83"/>
      <c r="B25" s="99"/>
      <c r="C25" s="101"/>
      <c r="D25" s="14"/>
      <c r="E25" s="15"/>
      <c r="F25" s="63"/>
      <c r="G25" s="16"/>
      <c r="H25" s="18"/>
      <c r="I25" s="14"/>
      <c r="J25" s="18"/>
      <c r="K25" s="14"/>
      <c r="L25" s="14"/>
      <c r="M25" s="14"/>
      <c r="N25" s="17"/>
      <c r="O25" s="103"/>
      <c r="P25" s="62"/>
      <c r="Q25" s="23"/>
      <c r="R25" s="40" t="s">
        <v>7</v>
      </c>
      <c r="S25" s="33"/>
      <c r="T25" s="36" t="s">
        <v>7</v>
      </c>
      <c r="U25" s="33"/>
      <c r="V25" s="33"/>
      <c r="W25" s="33"/>
      <c r="X25" s="16"/>
      <c r="Y25" s="89"/>
      <c r="Z25" s="89"/>
      <c r="AA25" s="51"/>
      <c r="AB25" s="51"/>
      <c r="AC25" s="51"/>
      <c r="AH25" s="73">
        <f t="shared" si="12"/>
        <v>0</v>
      </c>
      <c r="AJ25" s="93">
        <f t="shared" si="13"/>
        <v>0</v>
      </c>
    </row>
    <row r="26" spans="1:36" s="8" customFormat="1" ht="26.25" hidden="1">
      <c r="A26" s="83"/>
      <c r="B26" s="99"/>
      <c r="C26" s="101"/>
      <c r="D26" s="14"/>
      <c r="E26" s="15"/>
      <c r="F26" s="63"/>
      <c r="G26" s="16"/>
      <c r="H26" s="18"/>
      <c r="I26" s="14"/>
      <c r="J26" s="18"/>
      <c r="K26" s="14"/>
      <c r="L26" s="14"/>
      <c r="M26" s="14"/>
      <c r="N26" s="17"/>
      <c r="O26" s="103"/>
      <c r="P26" s="62"/>
      <c r="Q26" s="23"/>
      <c r="R26" s="40" t="s">
        <v>7</v>
      </c>
      <c r="S26" s="33"/>
      <c r="T26" s="36" t="s">
        <v>7</v>
      </c>
      <c r="U26" s="33"/>
      <c r="V26" s="33"/>
      <c r="W26" s="33"/>
      <c r="X26" s="16"/>
      <c r="Y26" s="89"/>
      <c r="Z26" s="89"/>
      <c r="AA26" s="51"/>
      <c r="AB26" s="51"/>
      <c r="AC26" s="51"/>
      <c r="AH26" s="73">
        <f t="shared" si="12"/>
        <v>0</v>
      </c>
      <c r="AJ26" s="93">
        <f t="shared" si="13"/>
        <v>0</v>
      </c>
    </row>
    <row r="27" spans="1:36" s="8" customFormat="1" ht="26.25" hidden="1">
      <c r="A27" s="83"/>
      <c r="B27" s="99"/>
      <c r="C27" s="101"/>
      <c r="D27" s="14"/>
      <c r="E27" s="15"/>
      <c r="F27" s="63"/>
      <c r="G27" s="16"/>
      <c r="H27" s="18"/>
      <c r="I27" s="14"/>
      <c r="J27" s="18"/>
      <c r="K27" s="14"/>
      <c r="L27" s="14"/>
      <c r="M27" s="14"/>
      <c r="N27" s="17"/>
      <c r="O27" s="103"/>
      <c r="P27" s="62"/>
      <c r="Q27" s="23"/>
      <c r="R27" s="40" t="s">
        <v>7</v>
      </c>
      <c r="S27" s="33"/>
      <c r="T27" s="36" t="s">
        <v>7</v>
      </c>
      <c r="U27" s="33"/>
      <c r="V27" s="33"/>
      <c r="W27" s="33"/>
      <c r="X27" s="16"/>
      <c r="Y27" s="89"/>
      <c r="Z27" s="89"/>
      <c r="AA27" s="51"/>
      <c r="AB27" s="51"/>
      <c r="AC27" s="51"/>
      <c r="AH27" s="73">
        <f t="shared" si="12"/>
        <v>0</v>
      </c>
      <c r="AJ27" s="93">
        <f t="shared" si="13"/>
        <v>0</v>
      </c>
    </row>
    <row r="28" spans="1:36" s="8" customFormat="1" ht="26.25" hidden="1">
      <c r="A28" s="83"/>
      <c r="B28" s="99"/>
      <c r="C28" s="101"/>
      <c r="D28" s="14"/>
      <c r="E28" s="15"/>
      <c r="F28" s="63"/>
      <c r="G28" s="16"/>
      <c r="H28" s="18"/>
      <c r="I28" s="14"/>
      <c r="J28" s="18"/>
      <c r="K28" s="14"/>
      <c r="L28" s="14"/>
      <c r="M28" s="14"/>
      <c r="N28" s="17"/>
      <c r="O28" s="103"/>
      <c r="P28" s="62"/>
      <c r="Q28" s="23"/>
      <c r="R28" s="40" t="s">
        <v>7</v>
      </c>
      <c r="S28" s="33"/>
      <c r="T28" s="36" t="s">
        <v>7</v>
      </c>
      <c r="U28" s="33"/>
      <c r="V28" s="33"/>
      <c r="W28" s="33"/>
      <c r="X28" s="16"/>
      <c r="Y28" s="89"/>
      <c r="Z28" s="89"/>
      <c r="AA28" s="51"/>
      <c r="AB28" s="51"/>
      <c r="AC28" s="51"/>
      <c r="AH28" s="73">
        <f t="shared" si="12"/>
        <v>0</v>
      </c>
      <c r="AJ28" s="93">
        <f t="shared" si="13"/>
        <v>0</v>
      </c>
    </row>
    <row r="29" spans="1:36" s="32" customFormat="1" ht="26.25">
      <c r="A29" s="84" t="s">
        <v>21</v>
      </c>
      <c r="B29" s="100">
        <f>SUM(B5:B28)</f>
        <v>30145</v>
      </c>
      <c r="C29" s="102">
        <f>SUM(C5:C28)</f>
        <v>53238.2</v>
      </c>
      <c r="D29" s="19">
        <f>C29/B29</f>
        <v>1.766070658483994</v>
      </c>
      <c r="E29" s="20">
        <f>D29/D29</f>
        <v>1</v>
      </c>
      <c r="F29" s="64">
        <v>0.99999</v>
      </c>
      <c r="G29" s="28">
        <f>E29/F29</f>
        <v>1.000010000100001</v>
      </c>
      <c r="H29" s="28">
        <f>SUM(H5:H28)/2</f>
        <v>0</v>
      </c>
      <c r="I29" s="19">
        <f>SUM(I5:I28)</f>
        <v>-35605.200000000004</v>
      </c>
      <c r="J29" s="28">
        <v>0.65</v>
      </c>
      <c r="K29" s="47">
        <f>SUM(K5:K28)</f>
        <v>-23143.379999999994</v>
      </c>
      <c r="L29" s="46">
        <f>SUM(L5:L28)</f>
        <v>30094.82</v>
      </c>
      <c r="M29" s="19">
        <f>L29/B29</f>
        <v>0.9983353790014928</v>
      </c>
      <c r="N29" s="30">
        <v>1</v>
      </c>
      <c r="O29" s="104">
        <f>SUM(O5:O28)</f>
        <v>53238.2</v>
      </c>
      <c r="P29" s="69">
        <f>SUM(P5:P28)</f>
        <v>0</v>
      </c>
      <c r="Q29" s="31">
        <f>(O29+P29)/B29</f>
        <v>1.766070658483994</v>
      </c>
      <c r="R29" s="41">
        <v>1</v>
      </c>
      <c r="S29" s="34">
        <f>SUM(S5:S28)</f>
        <v>56170.62401442132</v>
      </c>
      <c r="T29" s="42">
        <v>14500</v>
      </c>
      <c r="U29" s="34">
        <f>SUM(U5:U28)</f>
        <v>37643.37999999999</v>
      </c>
      <c r="V29" s="34">
        <f>SUM(V5:V28)</f>
        <v>14499.999999999993</v>
      </c>
      <c r="W29" s="34"/>
      <c r="X29" s="28">
        <f>SUM(X5:X12)/8</f>
        <v>1.0133737731750154</v>
      </c>
      <c r="Y29" s="90">
        <f>SUM(Y7:Y12)</f>
        <v>14102.231</v>
      </c>
      <c r="Z29" s="91">
        <f>SUM(Z5:Z28)</f>
        <v>-21809.808504616107</v>
      </c>
      <c r="AA29" s="52"/>
      <c r="AB29" s="52"/>
      <c r="AC29" s="52"/>
      <c r="AD29" s="71">
        <f>12715/11558.5</f>
        <v>1.1000562356707184</v>
      </c>
      <c r="AH29" s="73">
        <f t="shared" si="12"/>
        <v>14525.29793</v>
      </c>
      <c r="AI29" s="71">
        <f>SUM(AI7:AI12)</f>
        <v>423.0669300000004</v>
      </c>
      <c r="AJ29" s="93">
        <f t="shared" si="13"/>
        <v>25.29793000000791</v>
      </c>
    </row>
    <row r="30" spans="2:26" s="9" customFormat="1" ht="26.25">
      <c r="B30" s="24"/>
      <c r="F30" s="24"/>
      <c r="G30" s="24"/>
      <c r="S30" s="10"/>
      <c r="T30" s="10"/>
      <c r="X30" s="24"/>
      <c r="Y30" s="24"/>
      <c r="Z30" s="24"/>
    </row>
    <row r="31" spans="2:26" s="9" customFormat="1" ht="27" thickBot="1">
      <c r="B31" s="24"/>
      <c r="E31" s="9" t="s">
        <v>44</v>
      </c>
      <c r="F31" s="24"/>
      <c r="G31" s="38"/>
      <c r="K31" s="11"/>
      <c r="L31" s="70">
        <f>L29-O29</f>
        <v>-23143.379999999997</v>
      </c>
      <c r="U31" s="70"/>
      <c r="X31" s="92">
        <f>V29/Y29*100</f>
        <v>102.8206104410004</v>
      </c>
      <c r="Y31" s="24"/>
      <c r="Z31" s="24"/>
    </row>
    <row r="32" spans="1:26" s="9" customFormat="1" ht="150.75" thickBot="1">
      <c r="A32" s="65"/>
      <c r="B32" s="66" t="s">
        <v>22</v>
      </c>
      <c r="C32" s="66" t="s">
        <v>23</v>
      </c>
      <c r="F32" s="24"/>
      <c r="G32" s="38"/>
      <c r="H32" s="11"/>
      <c r="I32" s="45">
        <f>O29+P29+K29</f>
        <v>30094.820000000003</v>
      </c>
      <c r="J32" s="67">
        <f>I32-L29</f>
        <v>0</v>
      </c>
      <c r="N32" s="11"/>
      <c r="O32" s="11"/>
      <c r="P32" s="11" t="s">
        <v>22</v>
      </c>
      <c r="Q32" s="68" t="s">
        <v>23</v>
      </c>
      <c r="R32" s="11"/>
      <c r="X32" s="11"/>
      <c r="Y32" s="24"/>
      <c r="Z32" s="24"/>
    </row>
    <row r="33" spans="2:26" s="12" customFormat="1" ht="26.25">
      <c r="B33" s="25"/>
      <c r="F33" s="25"/>
      <c r="G33" s="39"/>
      <c r="H33" s="13"/>
      <c r="N33" s="13"/>
      <c r="O33" s="13"/>
      <c r="P33" s="13"/>
      <c r="Q33" s="13"/>
      <c r="R33" s="13"/>
      <c r="X33" s="13"/>
      <c r="Y33" s="25"/>
      <c r="Z33" s="25"/>
    </row>
    <row r="34" spans="2:26" s="12" customFormat="1" ht="26.25">
      <c r="B34" s="25"/>
      <c r="F34" s="25"/>
      <c r="G34" s="25"/>
      <c r="Y34" s="25"/>
      <c r="Z34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Sadmin</cp:lastModifiedBy>
  <cp:lastPrinted>2017-11-13T05:12:18Z</cp:lastPrinted>
  <dcterms:created xsi:type="dcterms:W3CDTF">2011-06-06T14:53:40Z</dcterms:created>
  <dcterms:modified xsi:type="dcterms:W3CDTF">2018-07-02T07:54:55Z</dcterms:modified>
  <cp:category/>
  <cp:version/>
  <cp:contentType/>
  <cp:contentStatus/>
</cp:coreProperties>
</file>